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G4069\Desktop\"/>
    </mc:Choice>
  </mc:AlternateContent>
  <xr:revisionPtr revIDLastSave="0" documentId="13_ncr:1_{13CD83B9-6254-4C6B-B723-F81D4935C9A8}" xr6:coauthVersionLast="47" xr6:coauthVersionMax="47" xr10:uidLastSave="{00000000-0000-0000-0000-000000000000}"/>
  <workbookProtection workbookAlgorithmName="SHA-512" workbookHashValue="kFili8Wfm/DPj6kLwL04XbyQGHC4ck+KydkLQ8TYaGO/HP3G2iXm33BMnRUY/75KnaB3NVcAZi/BNOhZK2kYCA==" workbookSaltValue="MIjKJ7OGgvl6b/9fRHCMfQ==" workbookSpinCount="100000" lockStructure="1"/>
  <bookViews>
    <workbookView xWindow="-120" yWindow="-120" windowWidth="29040" windowHeight="15720" xr2:uid="{00000000-000D-0000-FFFF-FFFF00000000}"/>
  </bookViews>
  <sheets>
    <sheet name="Design Tool" sheetId="4" r:id="rId1"/>
    <sheet name="Stage Storage Computations" sheetId="5" state="hidden" r:id="rId2"/>
    <sheet name="Computations" sheetId="3" state="hidden" r:id="rId3"/>
    <sheet name="Reference Data" sheetId="2" state="hidden" r:id="rId4"/>
  </sheets>
  <definedNames>
    <definedName name="DSI">#REF!</definedName>
    <definedName name="HD">'Reference Data'!#REF!</definedName>
    <definedName name="HD_Access">'Reference Data'!#REF!</definedName>
    <definedName name="LD">'Reference Data'!#REF!</definedName>
    <definedName name="_xlnm.Print_Area" localSheetId="0">'Design Tool'!$A$1:$AC$50</definedName>
    <definedName name="_xlnm.Print_Area" localSheetId="1">'Stage Storage Computations'!#REF!</definedName>
    <definedName name="SD">'Reference Data'!#REF!</definedName>
    <definedName name="Section">INDIRECT(#REF!)</definedName>
    <definedName name="SSI">#REF!</definedName>
    <definedName name="UD">'Reference Data'!#REF!</definedName>
    <definedName name="UD_Access">'Reference Data'!#REF!</definedName>
    <definedName name="XD">'Reference Data'!#REF!</definedName>
  </definedNames>
  <calcPr calcId="191029" iterate="1" iterateCount="25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8" i="4" l="1"/>
  <c r="D6" i="3" l="1"/>
  <c r="H3" i="3"/>
  <c r="C15" i="5" l="1"/>
  <c r="N2" i="3"/>
  <c r="C16" i="5" l="1"/>
  <c r="P27" i="4"/>
  <c r="C14" i="5"/>
  <c r="O1" i="5"/>
  <c r="C19" i="5" l="1"/>
  <c r="C17" i="5"/>
  <c r="B18" i="3" l="1"/>
  <c r="B6" i="3" l="1"/>
  <c r="F6" i="3" s="1"/>
  <c r="C10" i="3"/>
  <c r="C6" i="3"/>
  <c r="G6" i="3" s="1"/>
  <c r="C24" i="3"/>
  <c r="C6" i="5" s="1"/>
  <c r="B10" i="3" l="1"/>
  <c r="P10" i="4"/>
  <c r="C23" i="3"/>
  <c r="C5" i="5" s="1"/>
  <c r="E4" i="5" s="1"/>
  <c r="O41" i="2"/>
  <c r="N41" i="2"/>
  <c r="J41" i="2"/>
  <c r="K41" i="2" s="1"/>
  <c r="L41" i="2" s="1"/>
  <c r="I41" i="2"/>
  <c r="G41" i="2"/>
  <c r="E41" i="2"/>
  <c r="O40" i="2"/>
  <c r="N40" i="2"/>
  <c r="J40" i="2"/>
  <c r="K40" i="2" s="1"/>
  <c r="L40" i="2" s="1"/>
  <c r="I40" i="2"/>
  <c r="G40" i="2"/>
  <c r="E40" i="2"/>
  <c r="O39" i="2"/>
  <c r="N39" i="2"/>
  <c r="J39" i="2"/>
  <c r="K39" i="2" s="1"/>
  <c r="L39" i="2" s="1"/>
  <c r="I39" i="2"/>
  <c r="G39" i="2"/>
  <c r="E39" i="2"/>
  <c r="O38" i="2"/>
  <c r="N38" i="2"/>
  <c r="J38" i="2"/>
  <c r="K38" i="2" s="1"/>
  <c r="L38" i="2" s="1"/>
  <c r="I38" i="2"/>
  <c r="G38" i="2"/>
  <c r="E38" i="2"/>
  <c r="O37" i="2"/>
  <c r="N37" i="2"/>
  <c r="J37" i="2"/>
  <c r="K37" i="2" s="1"/>
  <c r="L37" i="2" s="1"/>
  <c r="I37" i="2"/>
  <c r="G37" i="2"/>
  <c r="E37" i="2"/>
  <c r="J36" i="2"/>
  <c r="K36" i="2" s="1"/>
  <c r="L36" i="2" s="1"/>
  <c r="I36" i="2"/>
  <c r="G36" i="2"/>
  <c r="E36" i="2"/>
  <c r="J35" i="2"/>
  <c r="K35" i="2" s="1"/>
  <c r="L35" i="2" s="1"/>
  <c r="I35" i="2"/>
  <c r="G35" i="2"/>
  <c r="E35" i="2"/>
  <c r="J34" i="2"/>
  <c r="K34" i="2" s="1"/>
  <c r="L34" i="2" s="1"/>
  <c r="I34" i="2"/>
  <c r="G34" i="2"/>
  <c r="E34" i="2"/>
  <c r="J33" i="2"/>
  <c r="K33" i="2" s="1"/>
  <c r="L33" i="2" s="1"/>
  <c r="I33" i="2"/>
  <c r="G33" i="2"/>
  <c r="E33" i="2"/>
  <c r="J32" i="2"/>
  <c r="K32" i="2" s="1"/>
  <c r="L32" i="2" s="1"/>
  <c r="I32" i="2"/>
  <c r="G32" i="2"/>
  <c r="E32" i="2"/>
  <c r="J31" i="2"/>
  <c r="K31" i="2" s="1"/>
  <c r="L31" i="2" s="1"/>
  <c r="I31" i="2"/>
  <c r="G31" i="2"/>
  <c r="E31" i="2"/>
  <c r="J30" i="2"/>
  <c r="K30" i="2" s="1"/>
  <c r="L30" i="2" s="1"/>
  <c r="I30" i="2"/>
  <c r="G30" i="2"/>
  <c r="E30" i="2"/>
  <c r="J29" i="2"/>
  <c r="K29" i="2" s="1"/>
  <c r="L29" i="2" s="1"/>
  <c r="I29" i="2"/>
  <c r="G29" i="2"/>
  <c r="E29" i="2"/>
  <c r="J28" i="2"/>
  <c r="K28" i="2" s="1"/>
  <c r="L28" i="2" s="1"/>
  <c r="I28" i="2"/>
  <c r="G28" i="2"/>
  <c r="E28" i="2"/>
  <c r="B3" i="3"/>
  <c r="C4" i="5" s="1"/>
  <c r="C9" i="5" s="1"/>
  <c r="D27" i="4"/>
  <c r="N10" i="4" l="1"/>
  <c r="X4" i="4"/>
  <c r="M4" i="4"/>
  <c r="C11" i="5" l="1"/>
  <c r="I3" i="4"/>
  <c r="AB3" i="4" s="1"/>
  <c r="X3" i="4"/>
  <c r="AB4" i="4"/>
  <c r="T4" i="4" l="1"/>
  <c r="T3" i="4"/>
  <c r="M3" i="4"/>
  <c r="E5" i="5" l="1"/>
  <c r="F4" i="5"/>
  <c r="O4" i="5" s="1"/>
  <c r="V16" i="4" s="1"/>
  <c r="O22" i="2"/>
  <c r="O23" i="2"/>
  <c r="O24" i="2"/>
  <c r="O25" i="2"/>
  <c r="O21" i="2"/>
  <c r="N22" i="2"/>
  <c r="N23" i="2"/>
  <c r="N24" i="2"/>
  <c r="N25" i="2"/>
  <c r="N21" i="2"/>
  <c r="O12" i="2"/>
  <c r="O13" i="2"/>
  <c r="O14" i="2"/>
  <c r="O15" i="2"/>
  <c r="O16" i="2"/>
  <c r="O17" i="2"/>
  <c r="O18" i="2"/>
  <c r="O19" i="2"/>
  <c r="O20" i="2"/>
  <c r="O11" i="2"/>
  <c r="E6" i="5" l="1"/>
  <c r="W16" i="4"/>
  <c r="B21" i="3"/>
  <c r="D21" i="3" s="1"/>
  <c r="Q33" i="4" s="1"/>
  <c r="C14" i="3"/>
  <c r="S33" i="4" l="1"/>
  <c r="E7" i="5"/>
  <c r="E21" i="3"/>
  <c r="E8" i="5" l="1"/>
  <c r="D26" i="2"/>
  <c r="E9" i="5" l="1"/>
  <c r="J26" i="2"/>
  <c r="K26" i="2" s="1"/>
  <c r="L26" i="2" s="1"/>
  <c r="G26" i="2"/>
  <c r="E26" i="2"/>
  <c r="J25" i="2"/>
  <c r="K25" i="2" s="1"/>
  <c r="L25" i="2" s="1"/>
  <c r="I25" i="2"/>
  <c r="G25" i="2"/>
  <c r="E25" i="2"/>
  <c r="J24" i="2"/>
  <c r="K24" i="2" s="1"/>
  <c r="L24" i="2" s="1"/>
  <c r="I24" i="2"/>
  <c r="G24" i="2"/>
  <c r="E24" i="2"/>
  <c r="J23" i="2"/>
  <c r="K23" i="2" s="1"/>
  <c r="L23" i="2" s="1"/>
  <c r="I23" i="2"/>
  <c r="G23" i="2"/>
  <c r="E23" i="2"/>
  <c r="J22" i="2"/>
  <c r="K22" i="2" s="1"/>
  <c r="L22" i="2" s="1"/>
  <c r="I22" i="2"/>
  <c r="G22" i="2"/>
  <c r="E22" i="2"/>
  <c r="J21" i="2"/>
  <c r="K21" i="2" s="1"/>
  <c r="L21" i="2" s="1"/>
  <c r="I21" i="2"/>
  <c r="G21" i="2"/>
  <c r="E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D12" i="2"/>
  <c r="J12" i="2" s="1"/>
  <c r="K12" i="2" s="1"/>
  <c r="L12" i="2" s="1"/>
  <c r="J11" i="2"/>
  <c r="K11" i="2" s="1"/>
  <c r="L11" i="2" s="1"/>
  <c r="I11" i="2"/>
  <c r="G11" i="2"/>
  <c r="E11" i="2"/>
  <c r="J10" i="2"/>
  <c r="K10" i="2" s="1"/>
  <c r="L10" i="2" s="1"/>
  <c r="I10" i="2"/>
  <c r="G10" i="2"/>
  <c r="E10" i="2"/>
  <c r="J9" i="2"/>
  <c r="K9" i="2" s="1"/>
  <c r="L9" i="2" s="1"/>
  <c r="I9" i="2"/>
  <c r="G9" i="2"/>
  <c r="E9" i="2"/>
  <c r="J8" i="2"/>
  <c r="K8" i="2" s="1"/>
  <c r="L8" i="2" s="1"/>
  <c r="I8" i="2"/>
  <c r="G8" i="2"/>
  <c r="E8" i="2"/>
  <c r="J7" i="2"/>
  <c r="K7" i="2" s="1"/>
  <c r="L7" i="2" s="1"/>
  <c r="I7" i="2"/>
  <c r="G7" i="2"/>
  <c r="E7" i="2"/>
  <c r="J6" i="2"/>
  <c r="K6" i="2" s="1"/>
  <c r="L6" i="2" s="1"/>
  <c r="I6" i="2"/>
  <c r="G6" i="2"/>
  <c r="E6" i="2"/>
  <c r="J5" i="2"/>
  <c r="K5" i="2" s="1"/>
  <c r="L5" i="2" s="1"/>
  <c r="I5" i="2"/>
  <c r="G5" i="2"/>
  <c r="E5" i="2"/>
  <c r="J4" i="2"/>
  <c r="K4" i="2" s="1"/>
  <c r="L4" i="2" s="1"/>
  <c r="I4" i="2"/>
  <c r="G4" i="2"/>
  <c r="E4" i="2"/>
  <c r="J3" i="2"/>
  <c r="K3" i="2" s="1"/>
  <c r="L3" i="2" s="1"/>
  <c r="I3" i="2"/>
  <c r="G3" i="2"/>
  <c r="E3" i="2"/>
  <c r="J2" i="2"/>
  <c r="K2" i="2" s="1"/>
  <c r="I2" i="2"/>
  <c r="G2" i="2"/>
  <c r="E2" i="2"/>
  <c r="E10" i="5" l="1"/>
  <c r="F3" i="3"/>
  <c r="D3" i="3"/>
  <c r="L2" i="2"/>
  <c r="C3" i="3" s="1"/>
  <c r="E3" i="3"/>
  <c r="D13" i="2"/>
  <c r="J13" i="2" s="1"/>
  <c r="K13" i="2" s="1"/>
  <c r="L13" i="2" s="1"/>
  <c r="E12" i="2"/>
  <c r="E13" i="2"/>
  <c r="E11" i="5" l="1"/>
  <c r="E6" i="3"/>
  <c r="D10" i="3"/>
  <c r="F10" i="3" s="1"/>
  <c r="D14" i="3"/>
  <c r="F14" i="3" s="1"/>
  <c r="D14" i="2"/>
  <c r="E14" i="2" s="1"/>
  <c r="E10" i="3"/>
  <c r="D18" i="3" l="1"/>
  <c r="E12" i="5"/>
  <c r="D15" i="2"/>
  <c r="J14" i="2"/>
  <c r="K14" i="2" s="1"/>
  <c r="L14" i="2" s="1"/>
  <c r="C25" i="3"/>
  <c r="C7" i="5" s="1"/>
  <c r="G10" i="3"/>
  <c r="I10" i="3" s="1"/>
  <c r="Q30" i="4" s="1"/>
  <c r="D16" i="2"/>
  <c r="J15" i="2"/>
  <c r="K15" i="2" s="1"/>
  <c r="L15" i="2" s="1"/>
  <c r="E15" i="2"/>
  <c r="E13" i="5" l="1"/>
  <c r="J10" i="3"/>
  <c r="Q10" i="4"/>
  <c r="C27" i="3"/>
  <c r="S10" i="4" s="1"/>
  <c r="C28" i="3"/>
  <c r="T10" i="4" s="1"/>
  <c r="C26" i="3"/>
  <c r="C8" i="5" s="1"/>
  <c r="F12" i="5" s="1"/>
  <c r="E16" i="2"/>
  <c r="D17" i="2"/>
  <c r="J16" i="2"/>
  <c r="K16" i="2" s="1"/>
  <c r="L16" i="2" s="1"/>
  <c r="F5" i="5" l="1"/>
  <c r="F6" i="5"/>
  <c r="F7" i="5"/>
  <c r="F8" i="5"/>
  <c r="F9" i="5"/>
  <c r="F10" i="5"/>
  <c r="F11" i="5"/>
  <c r="F13" i="5"/>
  <c r="S30" i="4"/>
  <c r="E14" i="5"/>
  <c r="F14" i="5" s="1"/>
  <c r="H12" i="5"/>
  <c r="R10" i="4"/>
  <c r="D18" i="2"/>
  <c r="J17" i="2"/>
  <c r="K17" i="2" s="1"/>
  <c r="L17" i="2" s="1"/>
  <c r="E17" i="2"/>
  <c r="H6" i="5" l="1"/>
  <c r="H10" i="5"/>
  <c r="H9" i="5"/>
  <c r="H8" i="5"/>
  <c r="H5" i="5"/>
  <c r="H11" i="5"/>
  <c r="H4" i="5"/>
  <c r="H7" i="5"/>
  <c r="O5" i="5"/>
  <c r="O14" i="5"/>
  <c r="V26" i="4" s="1"/>
  <c r="H13" i="5"/>
  <c r="E15" i="5"/>
  <c r="F15" i="5" s="1"/>
  <c r="O11" i="5"/>
  <c r="V23" i="4" s="1"/>
  <c r="O13" i="5"/>
  <c r="V25" i="4" s="1"/>
  <c r="E18" i="2"/>
  <c r="D19" i="2"/>
  <c r="J18" i="2"/>
  <c r="K18" i="2" s="1"/>
  <c r="L18" i="2" s="1"/>
  <c r="V17" i="4" l="1"/>
  <c r="O15" i="5"/>
  <c r="V27" i="4" s="1"/>
  <c r="H14" i="5"/>
  <c r="I14" i="5" s="1"/>
  <c r="E16" i="5"/>
  <c r="F16" i="5" s="1"/>
  <c r="I13" i="5"/>
  <c r="I12" i="5"/>
  <c r="O10" i="5"/>
  <c r="V22" i="4" s="1"/>
  <c r="I11" i="5"/>
  <c r="O12" i="5"/>
  <c r="V24" i="4" s="1"/>
  <c r="I6" i="5"/>
  <c r="I8" i="5"/>
  <c r="I7" i="5"/>
  <c r="I5" i="5"/>
  <c r="O6" i="5"/>
  <c r="I10" i="5"/>
  <c r="I9" i="5"/>
  <c r="O7" i="5"/>
  <c r="V19" i="4" s="1"/>
  <c r="O8" i="5"/>
  <c r="V20" i="4" s="1"/>
  <c r="O9" i="5"/>
  <c r="V21" i="4" s="1"/>
  <c r="D20" i="2"/>
  <c r="J19" i="2"/>
  <c r="K19" i="2" s="1"/>
  <c r="L19" i="2" s="1"/>
  <c r="E19" i="2"/>
  <c r="V18" i="4" l="1"/>
  <c r="H15" i="5"/>
  <c r="I15" i="5" s="1"/>
  <c r="E17" i="5"/>
  <c r="F17" i="5" s="1"/>
  <c r="O16" i="5"/>
  <c r="J20" i="2"/>
  <c r="K20" i="2" s="1"/>
  <c r="L20" i="2" s="1"/>
  <c r="E20" i="2"/>
  <c r="V28" i="4" l="1"/>
  <c r="P16" i="5"/>
  <c r="H16" i="5"/>
  <c r="I16" i="5" s="1"/>
  <c r="E18" i="5"/>
  <c r="F18" i="5" s="1"/>
  <c r="O17" i="5"/>
  <c r="V29" i="4" l="1"/>
  <c r="P17" i="5"/>
  <c r="H17" i="5"/>
  <c r="I17" i="5" s="1"/>
  <c r="E19" i="5"/>
  <c r="F19" i="5" s="1"/>
  <c r="O18" i="5"/>
  <c r="V30" i="4" l="1"/>
  <c r="P18" i="5"/>
  <c r="H18" i="5"/>
  <c r="I18" i="5" s="1"/>
  <c r="E20" i="5"/>
  <c r="F20" i="5" s="1"/>
  <c r="O19" i="5"/>
  <c r="V31" i="4" l="1"/>
  <c r="P19" i="5"/>
  <c r="H19" i="5"/>
  <c r="E21" i="5"/>
  <c r="F21" i="5" s="1"/>
  <c r="O20" i="5"/>
  <c r="V32" i="4" l="1"/>
  <c r="P20" i="5"/>
  <c r="I19" i="5"/>
  <c r="O21" i="5"/>
  <c r="H20" i="5"/>
  <c r="E22" i="5"/>
  <c r="F22" i="5" s="1"/>
  <c r="V33" i="4" l="1"/>
  <c r="P21" i="5"/>
  <c r="I20" i="5"/>
  <c r="H21" i="5"/>
  <c r="I21" i="5" s="1"/>
  <c r="E23" i="5"/>
  <c r="F23" i="5" s="1"/>
  <c r="O22" i="5"/>
  <c r="V34" i="4" l="1"/>
  <c r="P22" i="5"/>
  <c r="H22" i="5"/>
  <c r="I22" i="5" s="1"/>
  <c r="E24" i="5"/>
  <c r="F24" i="5" s="1"/>
  <c r="O23" i="5"/>
  <c r="V35" i="4" l="1"/>
  <c r="P23" i="5"/>
  <c r="H23" i="5"/>
  <c r="I23" i="5" s="1"/>
  <c r="E25" i="5"/>
  <c r="F25" i="5" s="1"/>
  <c r="O24" i="5"/>
  <c r="V36" i="4" l="1"/>
  <c r="P24" i="5"/>
  <c r="O25" i="5"/>
  <c r="H24" i="5"/>
  <c r="J24" i="5" s="1"/>
  <c r="K24" i="5" s="1"/>
  <c r="E26" i="5"/>
  <c r="F26" i="5" s="1"/>
  <c r="V37" i="4" l="1"/>
  <c r="P25" i="5"/>
  <c r="I24" i="5"/>
  <c r="H25" i="5"/>
  <c r="J25" i="5" s="1"/>
  <c r="K25" i="5" s="1"/>
  <c r="E27" i="5"/>
  <c r="F27" i="5" s="1"/>
  <c r="L24" i="5"/>
  <c r="M24" i="5" s="1"/>
  <c r="O26" i="5"/>
  <c r="V38" i="4" l="1"/>
  <c r="P26" i="5"/>
  <c r="I25" i="5"/>
  <c r="L25" i="5" s="1"/>
  <c r="M25" i="5" s="1"/>
  <c r="H26" i="5"/>
  <c r="I26" i="5" s="1"/>
  <c r="E28" i="5"/>
  <c r="F28" i="5" s="1"/>
  <c r="O27" i="5"/>
  <c r="V39" i="4" l="1"/>
  <c r="P27" i="5"/>
  <c r="J26" i="5"/>
  <c r="L26" i="5" s="1"/>
  <c r="M26" i="5" s="1"/>
  <c r="H27" i="5"/>
  <c r="E29" i="5"/>
  <c r="F29" i="5" s="1"/>
  <c r="O28" i="5"/>
  <c r="V40" i="4" l="1"/>
  <c r="P28" i="5"/>
  <c r="I27" i="5"/>
  <c r="K26" i="5"/>
  <c r="J27" i="5"/>
  <c r="K27" i="5" s="1"/>
  <c r="H28" i="5"/>
  <c r="O29" i="5"/>
  <c r="E30" i="5"/>
  <c r="F30" i="5" s="1"/>
  <c r="V41" i="4" l="1"/>
  <c r="P29" i="5"/>
  <c r="I28" i="5"/>
  <c r="L27" i="5"/>
  <c r="M27" i="5" s="1"/>
  <c r="J28" i="5"/>
  <c r="K28" i="5" s="1"/>
  <c r="O30" i="5"/>
  <c r="H29" i="5"/>
  <c r="I30" i="5" s="1"/>
  <c r="E31" i="5"/>
  <c r="F31" i="5" s="1"/>
  <c r="V42" i="4" l="1"/>
  <c r="P30" i="5"/>
  <c r="L28" i="5"/>
  <c r="M28" i="5" s="1"/>
  <c r="I29" i="5"/>
  <c r="J29" i="5"/>
  <c r="K29" i="5" s="1"/>
  <c r="H30" i="5"/>
  <c r="I31" i="5" s="1"/>
  <c r="O31" i="5"/>
  <c r="E32" i="5"/>
  <c r="F32" i="5" s="1"/>
  <c r="L29" i="5"/>
  <c r="M29" i="5" s="1"/>
  <c r="V43" i="4" l="1"/>
  <c r="P31" i="5"/>
  <c r="J30" i="5"/>
  <c r="K30" i="5" s="1"/>
  <c r="O32" i="5"/>
  <c r="P32" i="5" s="1"/>
  <c r="H31" i="5"/>
  <c r="J31" i="5" s="1"/>
  <c r="K31" i="5" s="1"/>
  <c r="E33" i="5"/>
  <c r="F33" i="5" s="1"/>
  <c r="L30" i="5" l="1"/>
  <c r="M30" i="5" s="1"/>
  <c r="I32" i="5"/>
  <c r="L31" i="5"/>
  <c r="M31" i="5" s="1"/>
  <c r="H32" i="5"/>
  <c r="J32" i="5" s="1"/>
  <c r="E34" i="5"/>
  <c r="F34" i="5" s="1"/>
  <c r="O33" i="5"/>
  <c r="P33" i="5" s="1"/>
  <c r="H33" i="5" l="1"/>
  <c r="J33" i="5" s="1"/>
  <c r="K33" i="5" s="1"/>
  <c r="I33" i="5"/>
  <c r="O34" i="5"/>
  <c r="P34" i="5" s="1"/>
  <c r="E35" i="5"/>
  <c r="F35" i="5" s="1"/>
  <c r="K32" i="5"/>
  <c r="L32" i="5"/>
  <c r="M32" i="5" s="1"/>
  <c r="I34" i="5" l="1"/>
  <c r="O35" i="5"/>
  <c r="P35" i="5" s="1"/>
  <c r="H34" i="5"/>
  <c r="J34" i="5" s="1"/>
  <c r="K34" i="5" s="1"/>
  <c r="E36" i="5"/>
  <c r="F36" i="5" s="1"/>
  <c r="L33" i="5"/>
  <c r="M33" i="5" s="1"/>
  <c r="I35" i="5" l="1"/>
  <c r="H35" i="5"/>
  <c r="J35" i="5" s="1"/>
  <c r="K35" i="5" s="1"/>
  <c r="E37" i="5"/>
  <c r="F37" i="5" s="1"/>
  <c r="L34" i="5"/>
  <c r="M34" i="5" s="1"/>
  <c r="O36" i="5"/>
  <c r="P36" i="5" s="1"/>
  <c r="I36" i="5" l="1"/>
  <c r="H36" i="5"/>
  <c r="J36" i="5" s="1"/>
  <c r="E38" i="5"/>
  <c r="F38" i="5" s="1"/>
  <c r="L35" i="5"/>
  <c r="M35" i="5" s="1"/>
  <c r="O37" i="5"/>
  <c r="P37" i="5" s="1"/>
  <c r="H37" i="5" l="1"/>
  <c r="J37" i="5" s="1"/>
  <c r="K37" i="5" s="1"/>
  <c r="I37" i="5"/>
  <c r="E39" i="5"/>
  <c r="F39" i="5" s="1"/>
  <c r="K36" i="5"/>
  <c r="L36" i="5"/>
  <c r="M36" i="5" s="1"/>
  <c r="O38" i="5"/>
  <c r="P38" i="5" s="1"/>
  <c r="I38" i="5" l="1"/>
  <c r="H38" i="5"/>
  <c r="J38" i="5" s="1"/>
  <c r="K38" i="5" s="1"/>
  <c r="O39" i="5"/>
  <c r="P39" i="5" s="1"/>
  <c r="E40" i="5"/>
  <c r="F40" i="5" s="1"/>
  <c r="L37" i="5"/>
  <c r="M37" i="5" s="1"/>
  <c r="I39" i="5" l="1"/>
  <c r="L38" i="5"/>
  <c r="M38" i="5" s="1"/>
  <c r="H39" i="5"/>
  <c r="J39" i="5" s="1"/>
  <c r="K39" i="5" s="1"/>
  <c r="E41" i="5"/>
  <c r="F41" i="5" s="1"/>
  <c r="O40" i="5"/>
  <c r="P40" i="5" s="1"/>
  <c r="H40" i="5" l="1"/>
  <c r="I41" i="5" s="1"/>
  <c r="E42" i="5"/>
  <c r="L39" i="5"/>
  <c r="M39" i="5" s="1"/>
  <c r="O41" i="5"/>
  <c r="P41" i="5" s="1"/>
  <c r="I40" i="5"/>
  <c r="X16" i="4"/>
  <c r="H41" i="5" l="1"/>
  <c r="F42" i="5"/>
  <c r="O42" i="5" s="1"/>
  <c r="P42" i="5" s="1"/>
  <c r="J40" i="5"/>
  <c r="K40" i="5" s="1"/>
  <c r="E43" i="5"/>
  <c r="I42" i="5"/>
  <c r="J41" i="5"/>
  <c r="X17" i="4"/>
  <c r="H42" i="5" l="1"/>
  <c r="F43" i="5"/>
  <c r="O43" i="5" s="1"/>
  <c r="P43" i="5" s="1"/>
  <c r="L40" i="5"/>
  <c r="M40" i="5" s="1"/>
  <c r="E44" i="5"/>
  <c r="F44" i="5" s="1"/>
  <c r="I43" i="5"/>
  <c r="J42" i="5"/>
  <c r="K42" i="5" s="1"/>
  <c r="K41" i="5"/>
  <c r="L41" i="5"/>
  <c r="M41" i="5" s="1"/>
  <c r="X18" i="4"/>
  <c r="L42" i="5" l="1"/>
  <c r="M42" i="5" s="1"/>
  <c r="O44" i="5"/>
  <c r="P44" i="5" s="1"/>
  <c r="H43" i="5"/>
  <c r="J43" i="5" s="1"/>
  <c r="K43" i="5" s="1"/>
  <c r="E45" i="5"/>
  <c r="F45" i="5" s="1"/>
  <c r="X19" i="4"/>
  <c r="X15" i="4"/>
  <c r="H44" i="5" l="1"/>
  <c r="J44" i="5" s="1"/>
  <c r="K44" i="5" s="1"/>
  <c r="I44" i="5"/>
  <c r="E46" i="5"/>
  <c r="F46" i="5" s="1"/>
  <c r="L43" i="5"/>
  <c r="M43" i="5" s="1"/>
  <c r="O45" i="5"/>
  <c r="P45" i="5" s="1"/>
  <c r="X20" i="4"/>
  <c r="L44" i="5" l="1"/>
  <c r="M44" i="5" s="1"/>
  <c r="H45" i="5"/>
  <c r="J45" i="5" s="1"/>
  <c r="K45" i="5" s="1"/>
  <c r="E47" i="5"/>
  <c r="F47" i="5" s="1"/>
  <c r="I45" i="5"/>
  <c r="O46" i="5"/>
  <c r="P46" i="5" s="1"/>
  <c r="X21" i="4"/>
  <c r="L45" i="5" l="1"/>
  <c r="M45" i="5" s="1"/>
  <c r="H46" i="5"/>
  <c r="J46" i="5" s="1"/>
  <c r="K46" i="5" s="1"/>
  <c r="E48" i="5"/>
  <c r="F48" i="5" s="1"/>
  <c r="I46" i="5"/>
  <c r="O47" i="5"/>
  <c r="P47" i="5" s="1"/>
  <c r="X22" i="4"/>
  <c r="I47" i="5" l="1"/>
  <c r="L46" i="5"/>
  <c r="M46" i="5" s="1"/>
  <c r="H47" i="5"/>
  <c r="I48" i="5" s="1"/>
  <c r="E49" i="5"/>
  <c r="F49" i="5" s="1"/>
  <c r="O48" i="5"/>
  <c r="P48" i="5" s="1"/>
  <c r="X23" i="4"/>
  <c r="J47" i="5" l="1"/>
  <c r="K47" i="5" s="1"/>
  <c r="H48" i="5"/>
  <c r="J48" i="5" s="1"/>
  <c r="K48" i="5" s="1"/>
  <c r="E50" i="5"/>
  <c r="F50" i="5" s="1"/>
  <c r="O49" i="5"/>
  <c r="P49" i="5" s="1"/>
  <c r="X24" i="4"/>
  <c r="L47" i="5" l="1"/>
  <c r="M47" i="5" s="1"/>
  <c r="I49" i="5"/>
  <c r="O50" i="5"/>
  <c r="P50" i="5" s="1"/>
  <c r="H49" i="5"/>
  <c r="J49" i="5" s="1"/>
  <c r="K49" i="5" s="1"/>
  <c r="E51" i="5"/>
  <c r="F51" i="5" s="1"/>
  <c r="L48" i="5"/>
  <c r="M48" i="5" s="1"/>
  <c r="X25" i="4"/>
  <c r="I50" i="5" l="1"/>
  <c r="O51" i="5"/>
  <c r="P51" i="5" s="1"/>
  <c r="H50" i="5"/>
  <c r="J50" i="5" s="1"/>
  <c r="K50" i="5" s="1"/>
  <c r="E52" i="5"/>
  <c r="F52" i="5" s="1"/>
  <c r="L49" i="5"/>
  <c r="M49" i="5" s="1"/>
  <c r="X26" i="4"/>
  <c r="I51" i="5" l="1"/>
  <c r="H51" i="5"/>
  <c r="J51" i="5" s="1"/>
  <c r="K51" i="5" s="1"/>
  <c r="E53" i="5"/>
  <c r="F53" i="5" s="1"/>
  <c r="L50" i="5"/>
  <c r="M50" i="5" s="1"/>
  <c r="O52" i="5"/>
  <c r="P52" i="5" s="1"/>
  <c r="X27" i="4"/>
  <c r="H52" i="5" l="1"/>
  <c r="J52" i="5" s="1"/>
  <c r="K52" i="5" s="1"/>
  <c r="L51" i="5"/>
  <c r="M51" i="5" s="1"/>
  <c r="E54" i="5"/>
  <c r="F54" i="5" s="1"/>
  <c r="I52" i="5"/>
  <c r="O53" i="5"/>
  <c r="P53" i="5" s="1"/>
  <c r="X28" i="4"/>
  <c r="O54" i="5" l="1"/>
  <c r="P54" i="5" s="1"/>
  <c r="L52" i="5"/>
  <c r="M52" i="5" s="1"/>
  <c r="H53" i="5"/>
  <c r="J53" i="5" s="1"/>
  <c r="K53" i="5" s="1"/>
  <c r="E55" i="5"/>
  <c r="F55" i="5" s="1"/>
  <c r="I53" i="5"/>
  <c r="X29" i="4"/>
  <c r="O55" i="5" l="1"/>
  <c r="P55" i="5" s="1"/>
  <c r="H54" i="5"/>
  <c r="J54" i="5" s="1"/>
  <c r="L53" i="5"/>
  <c r="M53" i="5" s="1"/>
  <c r="I54" i="5"/>
  <c r="E56" i="5"/>
  <c r="F56" i="5" s="1"/>
  <c r="X30" i="4"/>
  <c r="I55" i="5" l="1"/>
  <c r="H55" i="5"/>
  <c r="I56" i="5" s="1"/>
  <c r="E57" i="5"/>
  <c r="F57" i="5" s="1"/>
  <c r="K54" i="5"/>
  <c r="L54" i="5"/>
  <c r="M54" i="5" s="1"/>
  <c r="O56" i="5"/>
  <c r="P56" i="5" s="1"/>
  <c r="X31" i="4"/>
  <c r="J55" i="5" l="1"/>
  <c r="K55" i="5" s="1"/>
  <c r="H56" i="5"/>
  <c r="I57" i="5" s="1"/>
  <c r="O57" i="5"/>
  <c r="P57" i="5" s="1"/>
  <c r="E58" i="5"/>
  <c r="F58" i="5" s="1"/>
  <c r="L55" i="5"/>
  <c r="M55" i="5" s="1"/>
  <c r="X32" i="4"/>
  <c r="J56" i="5" l="1"/>
  <c r="K56" i="5" s="1"/>
  <c r="H57" i="5"/>
  <c r="I58" i="5" s="1"/>
  <c r="E59" i="5"/>
  <c r="F59" i="5" s="1"/>
  <c r="O58" i="5"/>
  <c r="P58" i="5" s="1"/>
  <c r="X33" i="4"/>
  <c r="L56" i="5" l="1"/>
  <c r="M56" i="5" s="1"/>
  <c r="J57" i="5"/>
  <c r="K57" i="5" s="1"/>
  <c r="H58" i="5"/>
  <c r="J58" i="5" s="1"/>
  <c r="K58" i="5" s="1"/>
  <c r="E60" i="5"/>
  <c r="F60" i="5" s="1"/>
  <c r="L57" i="5"/>
  <c r="M57" i="5" s="1"/>
  <c r="O59" i="5"/>
  <c r="P59" i="5" s="1"/>
  <c r="X34" i="4"/>
  <c r="I59" i="5" l="1"/>
  <c r="H59" i="5"/>
  <c r="J59" i="5" s="1"/>
  <c r="K59" i="5" s="1"/>
  <c r="E61" i="5"/>
  <c r="F61" i="5" s="1"/>
  <c r="L58" i="5"/>
  <c r="M58" i="5" s="1"/>
  <c r="O60" i="5"/>
  <c r="P60" i="5" s="1"/>
  <c r="X35" i="4"/>
  <c r="L59" i="5" l="1"/>
  <c r="M59" i="5" s="1"/>
  <c r="E62" i="5"/>
  <c r="F62" i="5" s="1"/>
  <c r="H60" i="5"/>
  <c r="J60" i="5" s="1"/>
  <c r="K60" i="5" s="1"/>
  <c r="I60" i="5"/>
  <c r="O61" i="5"/>
  <c r="P61" i="5" s="1"/>
  <c r="X36" i="4"/>
  <c r="L60" i="5" l="1"/>
  <c r="M60" i="5" s="1"/>
  <c r="H61" i="5"/>
  <c r="E63" i="5"/>
  <c r="F63" i="5" s="1"/>
  <c r="I61" i="5"/>
  <c r="O62" i="5"/>
  <c r="P62" i="5" s="1"/>
  <c r="X37" i="4"/>
  <c r="H62" i="5" l="1"/>
  <c r="J62" i="5" s="1"/>
  <c r="I62" i="5"/>
  <c r="J61" i="5"/>
  <c r="K61" i="5" s="1"/>
  <c r="E64" i="5"/>
  <c r="F64" i="5" s="1"/>
  <c r="O63" i="5"/>
  <c r="P63" i="5" s="1"/>
  <c r="X38" i="4"/>
  <c r="L62" i="5" l="1"/>
  <c r="M62" i="5" s="1"/>
  <c r="O64" i="5"/>
  <c r="P64" i="5" s="1"/>
  <c r="K62" i="5"/>
  <c r="I63" i="5"/>
  <c r="H63" i="5"/>
  <c r="J63" i="5" s="1"/>
  <c r="K63" i="5" s="1"/>
  <c r="E65" i="5"/>
  <c r="F65" i="5" s="1"/>
  <c r="L61" i="5"/>
  <c r="M61" i="5" s="1"/>
  <c r="X39" i="4"/>
  <c r="L63" i="5" l="1"/>
  <c r="M63" i="5" s="1"/>
  <c r="E66" i="5"/>
  <c r="F66" i="5" s="1"/>
  <c r="H64" i="5"/>
  <c r="J64" i="5" s="1"/>
  <c r="O65" i="5"/>
  <c r="P65" i="5" s="1"/>
  <c r="I64" i="5"/>
  <c r="X40" i="4"/>
  <c r="H65" i="5" l="1"/>
  <c r="J65" i="5" s="1"/>
  <c r="K65" i="5" s="1"/>
  <c r="E67" i="5"/>
  <c r="F67" i="5" s="1"/>
  <c r="I65" i="5"/>
  <c r="K64" i="5"/>
  <c r="L64" i="5"/>
  <c r="M64" i="5" s="1"/>
  <c r="O66" i="5"/>
  <c r="P66" i="5" s="1"/>
  <c r="X41" i="4"/>
  <c r="I66" i="5" l="1"/>
  <c r="L65" i="5"/>
  <c r="M65" i="5" s="1"/>
  <c r="H66" i="5"/>
  <c r="J66" i="5" s="1"/>
  <c r="K66" i="5" s="1"/>
  <c r="E68" i="5"/>
  <c r="F68" i="5" s="1"/>
  <c r="O67" i="5"/>
  <c r="P67" i="5" s="1"/>
  <c r="X42" i="4"/>
  <c r="O68" i="5" l="1"/>
  <c r="P68" i="5" s="1"/>
  <c r="H67" i="5"/>
  <c r="J67" i="5" s="1"/>
  <c r="K67" i="5" s="1"/>
  <c r="L66" i="5"/>
  <c r="M66" i="5" s="1"/>
  <c r="E69" i="5"/>
  <c r="F69" i="5" s="1"/>
  <c r="I67" i="5"/>
  <c r="X43" i="4"/>
  <c r="H68" i="5" l="1"/>
  <c r="J68" i="5" s="1"/>
  <c r="E70" i="5"/>
  <c r="F70" i="5" s="1"/>
  <c r="L67" i="5"/>
  <c r="M67" i="5" s="1"/>
  <c r="I68" i="5"/>
  <c r="O69" i="5"/>
  <c r="P69" i="5" s="1"/>
  <c r="Z16" i="4"/>
  <c r="O70" i="5" l="1"/>
  <c r="P70" i="5" s="1"/>
  <c r="E71" i="5"/>
  <c r="H69" i="5"/>
  <c r="J69" i="5" s="1"/>
  <c r="K69" i="5" s="1"/>
  <c r="I69" i="5"/>
  <c r="K68" i="5"/>
  <c r="L68" i="5"/>
  <c r="M68" i="5" s="1"/>
  <c r="Z17" i="4"/>
  <c r="H70" i="5" l="1"/>
  <c r="J70" i="5" s="1"/>
  <c r="K70" i="5" s="1"/>
  <c r="F71" i="5"/>
  <c r="O71" i="5" s="1"/>
  <c r="P71" i="5" s="1"/>
  <c r="L69" i="5"/>
  <c r="M69" i="5" s="1"/>
  <c r="I70" i="5"/>
  <c r="L70" i="5" s="1"/>
  <c r="M70" i="5" s="1"/>
  <c r="E72" i="5"/>
  <c r="F72" i="5" s="1"/>
  <c r="I71" i="5"/>
  <c r="Z18" i="4"/>
  <c r="H71" i="5" l="1"/>
  <c r="J71" i="5" s="1"/>
  <c r="K71" i="5" s="1"/>
  <c r="E73" i="5"/>
  <c r="F73" i="5" s="1"/>
  <c r="O72" i="5"/>
  <c r="P72" i="5" s="1"/>
  <c r="Z15" i="4"/>
  <c r="Z19" i="4"/>
  <c r="H72" i="5" l="1"/>
  <c r="I73" i="5" s="1"/>
  <c r="E74" i="5"/>
  <c r="F74" i="5" s="1"/>
  <c r="O73" i="5"/>
  <c r="P73" i="5" s="1"/>
  <c r="L71" i="5"/>
  <c r="M71" i="5" s="1"/>
  <c r="I72" i="5"/>
  <c r="Z20" i="4"/>
  <c r="J72" i="5" l="1"/>
  <c r="K72" i="5" s="1"/>
  <c r="H73" i="5"/>
  <c r="J73" i="5" s="1"/>
  <c r="K73" i="5" s="1"/>
  <c r="O74" i="5"/>
  <c r="P74" i="5" s="1"/>
  <c r="E75" i="5"/>
  <c r="F75" i="5" s="1"/>
  <c r="Z21" i="4"/>
  <c r="L72" i="5" l="1"/>
  <c r="M72" i="5" s="1"/>
  <c r="H74" i="5"/>
  <c r="J74" i="5" s="1"/>
  <c r="O75" i="5"/>
  <c r="P75" i="5" s="1"/>
  <c r="E76" i="5"/>
  <c r="L73" i="5"/>
  <c r="M73" i="5" s="1"/>
  <c r="I74" i="5"/>
  <c r="Z22" i="4"/>
  <c r="H75" i="5" l="1"/>
  <c r="F76" i="5"/>
  <c r="O76" i="5" s="1"/>
  <c r="P76" i="5" s="1"/>
  <c r="E77" i="5"/>
  <c r="F77" i="5" s="1"/>
  <c r="I75" i="5"/>
  <c r="I76" i="5"/>
  <c r="J75" i="5"/>
  <c r="K74" i="5"/>
  <c r="L74" i="5"/>
  <c r="M74" i="5" s="1"/>
  <c r="Z23" i="4"/>
  <c r="H76" i="5" l="1"/>
  <c r="J76" i="5" s="1"/>
  <c r="K76" i="5" s="1"/>
  <c r="E78" i="5"/>
  <c r="F78" i="5" s="1"/>
  <c r="K75" i="5"/>
  <c r="L75" i="5"/>
  <c r="M75" i="5" s="1"/>
  <c r="O77" i="5"/>
  <c r="P77" i="5" s="1"/>
  <c r="Z24" i="4"/>
  <c r="H77" i="5" l="1"/>
  <c r="J77" i="5" s="1"/>
  <c r="E79" i="5"/>
  <c r="F79" i="5" s="1"/>
  <c r="O78" i="5"/>
  <c r="P78" i="5" s="1"/>
  <c r="L76" i="5"/>
  <c r="M76" i="5" s="1"/>
  <c r="I77" i="5"/>
  <c r="Z25" i="4"/>
  <c r="K77" i="5" l="1"/>
  <c r="L77" i="5"/>
  <c r="M77" i="5" s="1"/>
  <c r="H78" i="5"/>
  <c r="I79" i="5" s="1"/>
  <c r="E80" i="5"/>
  <c r="F80" i="5" s="1"/>
  <c r="I78" i="5"/>
  <c r="O79" i="5"/>
  <c r="P79" i="5" s="1"/>
  <c r="Z26" i="4"/>
  <c r="O80" i="5" l="1"/>
  <c r="P80" i="5" s="1"/>
  <c r="E81" i="5"/>
  <c r="F81" i="5" s="1"/>
  <c r="J78" i="5"/>
  <c r="H79" i="5"/>
  <c r="I80" i="5" s="1"/>
  <c r="Z27" i="4"/>
  <c r="H80" i="5" l="1"/>
  <c r="J80" i="5" s="1"/>
  <c r="K80" i="5" s="1"/>
  <c r="E82" i="5"/>
  <c r="F82" i="5" s="1"/>
  <c r="K78" i="5"/>
  <c r="L78" i="5"/>
  <c r="M78" i="5" s="1"/>
  <c r="J79" i="5"/>
  <c r="K79" i="5" s="1"/>
  <c r="O81" i="5"/>
  <c r="P81" i="5" s="1"/>
  <c r="Z28" i="4"/>
  <c r="L80" i="5" l="1"/>
  <c r="M80" i="5" s="1"/>
  <c r="E83" i="5"/>
  <c r="F83" i="5" s="1"/>
  <c r="L79" i="5"/>
  <c r="M79" i="5" s="1"/>
  <c r="H81" i="5"/>
  <c r="J81" i="5" s="1"/>
  <c r="I81" i="5"/>
  <c r="O82" i="5"/>
  <c r="P82" i="5" s="1"/>
  <c r="Z29" i="4"/>
  <c r="O83" i="5" l="1"/>
  <c r="P83" i="5" s="1"/>
  <c r="E84" i="5"/>
  <c r="F84" i="5" s="1"/>
  <c r="H82" i="5"/>
  <c r="I83" i="5" s="1"/>
  <c r="I82" i="5"/>
  <c r="K81" i="5"/>
  <c r="L81" i="5"/>
  <c r="M81" i="5" s="1"/>
  <c r="Z30" i="4"/>
  <c r="O84" i="5" l="1"/>
  <c r="P84" i="5" s="1"/>
  <c r="E85" i="5"/>
  <c r="F85" i="5" s="1"/>
  <c r="J82" i="5"/>
  <c r="K82" i="5" s="1"/>
  <c r="H83" i="5"/>
  <c r="J83" i="5" s="1"/>
  <c r="K83" i="5" s="1"/>
  <c r="Z31" i="4"/>
  <c r="L82" i="5" l="1"/>
  <c r="M82" i="5" s="1"/>
  <c r="H84" i="5"/>
  <c r="J84" i="5" s="1"/>
  <c r="K84" i="5" s="1"/>
  <c r="E86" i="5"/>
  <c r="F86" i="5" s="1"/>
  <c r="O85" i="5"/>
  <c r="P85" i="5" s="1"/>
  <c r="L83" i="5"/>
  <c r="M83" i="5" s="1"/>
  <c r="I84" i="5"/>
  <c r="Z32" i="4"/>
  <c r="H85" i="5" l="1"/>
  <c r="J85" i="5" s="1"/>
  <c r="E87" i="5"/>
  <c r="F87" i="5" s="1"/>
  <c r="L84" i="5"/>
  <c r="M84" i="5" s="1"/>
  <c r="I85" i="5"/>
  <c r="O86" i="5"/>
  <c r="P86" i="5" s="1"/>
  <c r="Z33" i="4"/>
  <c r="O87" i="5" l="1"/>
  <c r="P87" i="5" s="1"/>
  <c r="H86" i="5"/>
  <c r="I87" i="5" s="1"/>
  <c r="E88" i="5"/>
  <c r="F88" i="5" s="1"/>
  <c r="I86" i="5"/>
  <c r="K85" i="5"/>
  <c r="L85" i="5"/>
  <c r="M85" i="5" s="1"/>
  <c r="Z34" i="4"/>
  <c r="O88" i="5" l="1"/>
  <c r="P88" i="5" s="1"/>
  <c r="H87" i="5"/>
  <c r="I88" i="5" s="1"/>
  <c r="J86" i="5"/>
  <c r="K86" i="5" s="1"/>
  <c r="E89" i="5"/>
  <c r="F89" i="5" s="1"/>
  <c r="Z35" i="4"/>
  <c r="L86" i="5" l="1"/>
  <c r="M86" i="5" s="1"/>
  <c r="H88" i="5"/>
  <c r="J88" i="5" s="1"/>
  <c r="K88" i="5" s="1"/>
  <c r="J87" i="5"/>
  <c r="K87" i="5" s="1"/>
  <c r="E90" i="5"/>
  <c r="O89" i="5"/>
  <c r="P89" i="5" s="1"/>
  <c r="L87" i="5"/>
  <c r="M87" i="5" s="1"/>
  <c r="Z36" i="4"/>
  <c r="H89" i="5" l="1"/>
  <c r="F90" i="5"/>
  <c r="O90" i="5" s="1"/>
  <c r="P90" i="5" s="1"/>
  <c r="L88" i="5"/>
  <c r="M88" i="5" s="1"/>
  <c r="E91" i="5"/>
  <c r="F91" i="5" s="1"/>
  <c r="J89" i="5"/>
  <c r="K89" i="5" s="1"/>
  <c r="I89" i="5"/>
  <c r="Z37" i="4"/>
  <c r="L89" i="5" l="1"/>
  <c r="M89" i="5" s="1"/>
  <c r="E92" i="5"/>
  <c r="F92" i="5" s="1"/>
  <c r="H90" i="5"/>
  <c r="J90" i="5" s="1"/>
  <c r="K90" i="5" s="1"/>
  <c r="O91" i="5"/>
  <c r="P91" i="5" s="1"/>
  <c r="I90" i="5"/>
  <c r="Z38" i="4"/>
  <c r="L90" i="5" l="1"/>
  <c r="M90" i="5" s="1"/>
  <c r="E93" i="5"/>
  <c r="F93" i="5" s="1"/>
  <c r="O92" i="5"/>
  <c r="P92" i="5" s="1"/>
  <c r="H91" i="5"/>
  <c r="J91" i="5" s="1"/>
  <c r="K91" i="5" s="1"/>
  <c r="I91" i="5"/>
  <c r="Z39" i="4"/>
  <c r="L91" i="5" l="1"/>
  <c r="M91" i="5" s="1"/>
  <c r="E94" i="5"/>
  <c r="I92" i="5"/>
  <c r="H92" i="5"/>
  <c r="J92" i="5" s="1"/>
  <c r="K92" i="5" s="1"/>
  <c r="O93" i="5"/>
  <c r="P93" i="5" s="1"/>
  <c r="Z40" i="4"/>
  <c r="H93" i="5" l="1"/>
  <c r="J93" i="5" s="1"/>
  <c r="F94" i="5"/>
  <c r="O94" i="5" s="1"/>
  <c r="P94" i="5" s="1"/>
  <c r="E95" i="5"/>
  <c r="I93" i="5"/>
  <c r="L93" i="5" s="1"/>
  <c r="M93" i="5" s="1"/>
  <c r="L92" i="5"/>
  <c r="M92" i="5" s="1"/>
  <c r="K93" i="5"/>
  <c r="Z41" i="4"/>
  <c r="H94" i="5" l="1"/>
  <c r="J94" i="5" s="1"/>
  <c r="F95" i="5"/>
  <c r="O95" i="5" s="1"/>
  <c r="P95" i="5" s="1"/>
  <c r="E96" i="5"/>
  <c r="F96" i="5" s="1"/>
  <c r="I94" i="5"/>
  <c r="L94" i="5" s="1"/>
  <c r="M94" i="5" s="1"/>
  <c r="K94" i="5"/>
  <c r="Z42" i="4"/>
  <c r="H95" i="5" l="1"/>
  <c r="I96" i="5" s="1"/>
  <c r="H96" i="5"/>
  <c r="J96" i="5" s="1"/>
  <c r="K96" i="5" s="1"/>
  <c r="O96" i="5"/>
  <c r="P96" i="5" s="1"/>
  <c r="I95" i="5"/>
  <c r="J95" i="5"/>
  <c r="Z43" i="4"/>
  <c r="L96" i="5" l="1"/>
  <c r="M96" i="5" s="1"/>
  <c r="K95" i="5"/>
  <c r="L95" i="5"/>
  <c r="M95" i="5" s="1"/>
  <c r="AB16" i="4"/>
  <c r="AB17" i="4" l="1"/>
  <c r="AB18" i="4" l="1"/>
  <c r="AB15" i="4" l="1"/>
  <c r="AB19" i="4"/>
  <c r="AB20" i="4" l="1"/>
  <c r="AB21" i="4" l="1"/>
  <c r="AB22" i="4" l="1"/>
  <c r="AB23" i="4" l="1"/>
  <c r="AB24" i="4" l="1"/>
  <c r="B14" i="3" l="1"/>
  <c r="E14" i="3" l="1"/>
  <c r="G14" i="3"/>
  <c r="E18" i="3" s="1"/>
  <c r="C18" i="3" l="1"/>
  <c r="G18" i="3" s="1"/>
  <c r="Q32" i="4" s="1"/>
  <c r="I14" i="3"/>
  <c r="Q31" i="4" s="1"/>
  <c r="J14" i="3" l="1"/>
  <c r="H18" i="3"/>
  <c r="S32" i="4" l="1"/>
  <c r="S31" i="4"/>
  <c r="C10" i="5"/>
  <c r="J17" i="5" l="1"/>
  <c r="J18" i="5"/>
  <c r="J19" i="5"/>
  <c r="J20" i="5"/>
  <c r="J21" i="5"/>
  <c r="J22" i="5"/>
  <c r="J23" i="5"/>
  <c r="J6" i="5"/>
  <c r="K6" i="5" s="1"/>
  <c r="J5" i="5"/>
  <c r="J9" i="5"/>
  <c r="J7" i="5"/>
  <c r="J11" i="5"/>
  <c r="J8" i="5"/>
  <c r="J10" i="5"/>
  <c r="J13" i="5"/>
  <c r="J14" i="5"/>
  <c r="J12" i="5"/>
  <c r="J15" i="5"/>
  <c r="J16" i="5"/>
  <c r="G3" i="3"/>
  <c r="D18" i="4" s="1"/>
  <c r="I3" i="3"/>
  <c r="H6" i="3" s="1"/>
  <c r="Q21" i="4" l="1"/>
  <c r="Z9" i="4"/>
  <c r="K23" i="5"/>
  <c r="L23" i="5"/>
  <c r="M23" i="5" s="1"/>
  <c r="K22" i="5"/>
  <c r="L22" i="5"/>
  <c r="M22" i="5" s="1"/>
  <c r="L21" i="5"/>
  <c r="M21" i="5" s="1"/>
  <c r="K21" i="5"/>
  <c r="K20" i="5"/>
  <c r="L20" i="5"/>
  <c r="M20" i="5" s="1"/>
  <c r="K19" i="5"/>
  <c r="L19" i="5"/>
  <c r="M19" i="5" s="1"/>
  <c r="K18" i="5"/>
  <c r="L18" i="5"/>
  <c r="M18" i="5" s="1"/>
  <c r="K17" i="5"/>
  <c r="L17" i="5"/>
  <c r="M17" i="5" s="1"/>
  <c r="L6" i="5"/>
  <c r="M6" i="5" s="1"/>
  <c r="K5" i="5"/>
  <c r="L5" i="5"/>
  <c r="M5" i="5" s="1"/>
  <c r="K12" i="5"/>
  <c r="L12" i="5"/>
  <c r="M12" i="5" s="1"/>
  <c r="K13" i="5"/>
  <c r="L13" i="5"/>
  <c r="M13" i="5" s="1"/>
  <c r="K15" i="5"/>
  <c r="L15" i="5"/>
  <c r="M15" i="5" s="1"/>
  <c r="K8" i="5"/>
  <c r="L8" i="5"/>
  <c r="M8" i="5" s="1"/>
  <c r="K14" i="5"/>
  <c r="L14" i="5"/>
  <c r="M14" i="5" s="1"/>
  <c r="K7" i="5"/>
  <c r="L7" i="5"/>
  <c r="M7" i="5" s="1"/>
  <c r="K16" i="5"/>
  <c r="L16" i="5"/>
  <c r="M16" i="5" s="1"/>
  <c r="K10" i="5"/>
  <c r="L10" i="5"/>
  <c r="M10" i="5" s="1"/>
  <c r="K11" i="5"/>
  <c r="L11" i="5"/>
  <c r="M11" i="5" s="1"/>
  <c r="K9" i="5"/>
  <c r="L9" i="5"/>
  <c r="M9" i="5" s="1"/>
  <c r="Q27" i="4"/>
  <c r="J3" i="3"/>
  <c r="Q20" i="4" l="1"/>
  <c r="Z8" i="4"/>
  <c r="P5" i="5"/>
  <c r="P6" i="5" s="1"/>
  <c r="P7" i="5" s="1"/>
  <c r="P8" i="5" s="1"/>
  <c r="P9" i="5" s="1"/>
  <c r="P10" i="5" s="1"/>
  <c r="P11" i="5" s="1"/>
  <c r="P12" i="5" s="1"/>
  <c r="P13" i="5" s="1"/>
  <c r="P14" i="5" s="1"/>
  <c r="P15" i="5" s="1"/>
  <c r="W17" i="4"/>
  <c r="K97" i="5"/>
  <c r="M97" i="5"/>
  <c r="L97" i="5"/>
  <c r="J6" i="3"/>
  <c r="K6" i="3" s="1"/>
  <c r="Q29" i="4" s="1"/>
  <c r="I6" i="3"/>
  <c r="W20" i="4" l="1"/>
  <c r="W24" i="4"/>
  <c r="W21" i="4"/>
  <c r="W23" i="4"/>
  <c r="W19" i="4"/>
  <c r="W22" i="4"/>
  <c r="Z10" i="4"/>
  <c r="Q22" i="4"/>
  <c r="N3" i="3" s="1"/>
  <c r="M4" i="3" l="1"/>
  <c r="N4" i="3"/>
  <c r="W25" i="4"/>
  <c r="W18" i="4"/>
  <c r="W26" i="4" l="1"/>
  <c r="W27" i="4" l="1"/>
  <c r="W28" i="4" l="1"/>
  <c r="W29" i="4" l="1"/>
  <c r="W30" i="4" l="1"/>
  <c r="W31" i="4" l="1"/>
  <c r="W32" i="4" l="1"/>
  <c r="W33" i="4" l="1"/>
  <c r="W34" i="4" l="1"/>
  <c r="W35" i="4" l="1"/>
  <c r="W36" i="4" l="1"/>
  <c r="W37" i="4" l="1"/>
  <c r="W38" i="4" l="1"/>
  <c r="W39" i="4" l="1"/>
  <c r="W40" i="4" l="1"/>
  <c r="W41" i="4" l="1"/>
  <c r="W42" i="4" l="1"/>
  <c r="W43" i="4" l="1"/>
  <c r="Y16" i="4" l="1"/>
  <c r="Y15" i="4" s="1"/>
  <c r="Y17" i="4" l="1"/>
  <c r="Y18" i="4" l="1"/>
  <c r="Y19" i="4" l="1"/>
  <c r="Y20" i="4" l="1"/>
  <c r="Y21" i="4" l="1"/>
  <c r="Y22" i="4" l="1"/>
  <c r="Y23" i="4" l="1"/>
  <c r="Y24" i="4" l="1"/>
  <c r="Y25" i="4" l="1"/>
  <c r="Y26" i="4" l="1"/>
  <c r="Y27" i="4" l="1"/>
  <c r="Y28" i="4" l="1"/>
  <c r="Y29" i="4" l="1"/>
  <c r="Y30" i="4" l="1"/>
  <c r="Y31" i="4" l="1"/>
  <c r="Y32" i="4" l="1"/>
  <c r="Y33" i="4" l="1"/>
  <c r="Y34" i="4" l="1"/>
  <c r="Y35" i="4" l="1"/>
  <c r="Y36" i="4" l="1"/>
  <c r="Y37" i="4" l="1"/>
  <c r="Y38" i="4" l="1"/>
  <c r="Y39" i="4" l="1"/>
  <c r="Y40" i="4" l="1"/>
  <c r="Y41" i="4" l="1"/>
  <c r="Y42" i="4" l="1"/>
  <c r="AA16" i="4" l="1"/>
  <c r="AA15" i="4" s="1"/>
  <c r="Y43" i="4"/>
  <c r="AA17" i="4" l="1"/>
  <c r="AA18" i="4" l="1"/>
  <c r="AA19" i="4" l="1"/>
  <c r="AA20" i="4" l="1"/>
  <c r="AA21" i="4" l="1"/>
  <c r="AA22" i="4" l="1"/>
  <c r="AA23" i="4" l="1"/>
  <c r="AA24" i="4" l="1"/>
  <c r="AA25" i="4" l="1"/>
  <c r="AA26" i="4" l="1"/>
  <c r="AA27" i="4" l="1"/>
  <c r="AA28" i="4" l="1"/>
  <c r="AA29" i="4" l="1"/>
  <c r="AA30" i="4" l="1"/>
  <c r="AA31" i="4" l="1"/>
  <c r="AA32" i="4" l="1"/>
  <c r="AA33" i="4" l="1"/>
  <c r="AA34" i="4" l="1"/>
  <c r="AA35" i="4" l="1"/>
  <c r="AA36" i="4" l="1"/>
  <c r="AA37" i="4" l="1"/>
  <c r="AA38" i="4" l="1"/>
  <c r="AA39" i="4" l="1"/>
  <c r="AA40" i="4" l="1"/>
  <c r="AA41" i="4" l="1"/>
  <c r="AA42" i="4" l="1"/>
  <c r="AA43" i="4" l="1"/>
  <c r="AC16" i="4" l="1"/>
  <c r="AC15" i="4" s="1"/>
  <c r="AC17" i="4" l="1"/>
  <c r="AC18" i="4" l="1"/>
  <c r="AC19" i="4" l="1"/>
  <c r="AC20" i="4" l="1"/>
  <c r="AC21" i="4" l="1"/>
  <c r="AC22" i="4" l="1"/>
  <c r="AC23" i="4" l="1"/>
  <c r="AC24" i="4" l="1"/>
</calcChain>
</file>

<file path=xl/sharedStrings.xml><?xml version="1.0" encoding="utf-8"?>
<sst xmlns="http://schemas.openxmlformats.org/spreadsheetml/2006/main" count="308" uniqueCount="198">
  <si>
    <t>Height</t>
  </si>
  <si>
    <t>Estimated Liner:</t>
  </si>
  <si>
    <t>Excavation Footprint</t>
  </si>
  <si>
    <t>HD Single</t>
  </si>
  <si>
    <t>Elevations</t>
  </si>
  <si>
    <t>Top of Cover</t>
  </si>
  <si>
    <t>Base Thickness</t>
  </si>
  <si>
    <t>Stone Storage</t>
  </si>
  <si>
    <t>Use Stone Storage</t>
  </si>
  <si>
    <t>Use Stone Base for Storage</t>
  </si>
  <si>
    <t>Use Stone Cover for Storage</t>
  </si>
  <si>
    <t>Stone Void Ratio</t>
  </si>
  <si>
    <t>R-Tank Modules</t>
  </si>
  <si>
    <t>Height(mm)</t>
  </si>
  <si>
    <t>Length(mm)</t>
  </si>
  <si>
    <t>Length</t>
  </si>
  <si>
    <t>Width(mm)</t>
  </si>
  <si>
    <t>Width</t>
  </si>
  <si>
    <t>Tank Vol.</t>
  </si>
  <si>
    <t>Storage Vol.</t>
  </si>
  <si>
    <t>HS-20 Min Cover</t>
  </si>
  <si>
    <t>Max Cover</t>
  </si>
  <si>
    <t>HD Single+Mini</t>
  </si>
  <si>
    <t>HD Double</t>
  </si>
  <si>
    <t>HD Double+Mini</t>
  </si>
  <si>
    <t>HD Triple</t>
  </si>
  <si>
    <t>HD Triple+Mini</t>
  </si>
  <si>
    <t>HD Quad</t>
  </si>
  <si>
    <t>HD Quad+Mini</t>
  </si>
  <si>
    <t>HD Penta</t>
  </si>
  <si>
    <t>SD Single</t>
  </si>
  <si>
    <t>SD Double</t>
  </si>
  <si>
    <t>SD Triple</t>
  </si>
  <si>
    <t>SD Quad</t>
  </si>
  <si>
    <t>SD Penta</t>
  </si>
  <si>
    <t>SD Hex</t>
  </si>
  <si>
    <t>SD Septa</t>
  </si>
  <si>
    <t>SD Octo</t>
  </si>
  <si>
    <t>SD Nono</t>
  </si>
  <si>
    <t>SD Deca</t>
  </si>
  <si>
    <t>UD Single</t>
  </si>
  <si>
    <t>UD Double</t>
  </si>
  <si>
    <t>UD Triple</t>
  </si>
  <si>
    <t>UD Quad</t>
  </si>
  <si>
    <t>UD Penta</t>
  </si>
  <si>
    <t>XD</t>
  </si>
  <si>
    <t>Liner</t>
  </si>
  <si>
    <t>Excavation Perimeter</t>
  </si>
  <si>
    <t>Top Backfill Thickness</t>
  </si>
  <si>
    <t>Yes</t>
  </si>
  <si>
    <t>Stage Storage Increment</t>
  </si>
  <si>
    <t>Elevation</t>
  </si>
  <si>
    <t>Volume</t>
  </si>
  <si>
    <t>Stage 
Elevation</t>
  </si>
  <si>
    <t>Excavation
Volume</t>
  </si>
  <si>
    <t>Tank
Volume</t>
  </si>
  <si>
    <t>Tank
Storage</t>
  </si>
  <si>
    <t>Access Modules</t>
  </si>
  <si>
    <t>Module Type</t>
  </si>
  <si>
    <t>System Vol. Goal</t>
  </si>
  <si>
    <t>Total Excavation Area</t>
  </si>
  <si>
    <t>Stone Storage Volume</t>
  </si>
  <si>
    <t>System Storage Volume</t>
  </si>
  <si>
    <t>Backfill Qty.</t>
  </si>
  <si>
    <t>Bottom</t>
  </si>
  <si>
    <t>Waste Factor</t>
  </si>
  <si>
    <t>Excavation Wrap</t>
  </si>
  <si>
    <t>Excavation Area</t>
  </si>
  <si>
    <t>Excav. Perimeter</t>
  </si>
  <si>
    <t>Top</t>
  </si>
  <si>
    <t>Sides</t>
  </si>
  <si>
    <t>Geogrid</t>
  </si>
  <si>
    <t>Geogrid Area</t>
  </si>
  <si>
    <t>Location</t>
  </si>
  <si>
    <t>Area of
Main Wrap</t>
  </si>
  <si>
    <t>Total Wrap</t>
  </si>
  <si>
    <t>Excavation Height</t>
  </si>
  <si>
    <t>Geogrid Footprint</t>
  </si>
  <si>
    <t>Project Name</t>
  </si>
  <si>
    <t>State</t>
  </si>
  <si>
    <t>Designed By</t>
  </si>
  <si>
    <t>Date</t>
  </si>
  <si>
    <t>Backfill Material</t>
  </si>
  <si>
    <t>System Quantities</t>
  </si>
  <si>
    <t>System Storage Capacities</t>
  </si>
  <si>
    <t>Required Backfill Material:</t>
  </si>
  <si>
    <t>Estimated Geotextile Excavation Wrap:</t>
  </si>
  <si>
    <t>Stone</t>
  </si>
  <si>
    <t>Non-Traffic Min Cover</t>
  </si>
  <si>
    <t>HS-25 Min Cover</t>
  </si>
  <si>
    <t>HS-20</t>
  </si>
  <si>
    <t>Total Volume Provided in Stone:</t>
  </si>
  <si>
    <t>Load Rating</t>
  </si>
  <si>
    <t>Geotextile Excavation Wrap</t>
  </si>
  <si>
    <t>Finished Surface Type</t>
  </si>
  <si>
    <t>XD Stack</t>
  </si>
  <si>
    <t>City/County</t>
  </si>
  <si>
    <t>Base Material</t>
  </si>
  <si>
    <t>Base and Backfill Storage</t>
  </si>
  <si>
    <t>Use Base for Storage</t>
  </si>
  <si>
    <t>Use Cover for Storage</t>
  </si>
  <si>
    <t>Use Backfill Storage</t>
  </si>
  <si>
    <t>Backfill Void Ratio</t>
  </si>
  <si>
    <t># of Inspection Ports</t>
  </si>
  <si>
    <t>N080 Non-Woven Geotextile</t>
  </si>
  <si>
    <t>Optional Bottom</t>
  </si>
  <si>
    <t>Geogrid Material</t>
  </si>
  <si>
    <t>Liner Material</t>
  </si>
  <si>
    <t>Material</t>
  </si>
  <si>
    <t>Primary Units</t>
  </si>
  <si>
    <t>Loading Criteria</t>
  </si>
  <si>
    <t>Excavation Footprint and Perimeter</t>
  </si>
  <si>
    <t>UD Access Single</t>
  </si>
  <si>
    <t>UD Access Double</t>
  </si>
  <si>
    <t>UD Access Triple</t>
  </si>
  <si>
    <t>UD Access Quad</t>
  </si>
  <si>
    <t>UD Access Penta</t>
  </si>
  <si>
    <t>HD Access Single</t>
  </si>
  <si>
    <t>HD Access Single+Mini</t>
  </si>
  <si>
    <t>HD Access Double</t>
  </si>
  <si>
    <t>HD Access Double+Mini</t>
  </si>
  <si>
    <t>HD Access Triple</t>
  </si>
  <si>
    <t>HD Access Triple+Mini</t>
  </si>
  <si>
    <t>HD Access Quad</t>
  </si>
  <si>
    <t>HD Access Quad+Mini</t>
  </si>
  <si>
    <t>HD Access Penta</t>
  </si>
  <si>
    <t>Base Invert</t>
  </si>
  <si>
    <t>Minimum Cover</t>
  </si>
  <si>
    <t>Maximum Cover</t>
  </si>
  <si>
    <t>Tank Vol.(m3)</t>
  </si>
  <si>
    <t>Excavation Info</t>
  </si>
  <si>
    <t>Primary</t>
  </si>
  <si>
    <t>Primary Unit</t>
  </si>
  <si>
    <t>Asphalt</t>
  </si>
  <si>
    <t>Port Quantities</t>
  </si>
  <si>
    <t>Unit Storage</t>
  </si>
  <si>
    <t>Unit Length</t>
  </si>
  <si>
    <t>Unit Width</t>
  </si>
  <si>
    <t>Unit Height</t>
  </si>
  <si>
    <t># of Total Units</t>
  </si>
  <si>
    <t>Unit Areas</t>
  </si>
  <si>
    <t>Unit Displacement</t>
  </si>
  <si>
    <t>Unit Volume</t>
  </si>
  <si>
    <t>Unit Wrap</t>
  </si>
  <si>
    <t>Unit Area</t>
  </si>
  <si>
    <t>Unit Perimeter</t>
  </si>
  <si>
    <t xml:space="preserve"> Primary Unit Elevations</t>
  </si>
  <si>
    <t>R-Unit Invert</t>
  </si>
  <si>
    <t>Top of R-Unit</t>
  </si>
  <si>
    <t>R-Unit Inputs</t>
  </si>
  <si>
    <t>Total Volume Provided in R-Unit:</t>
  </si>
  <si>
    <t>Primary Unit Invert</t>
  </si>
  <si>
    <t>R-Unit Stage Storage Table</t>
  </si>
  <si>
    <t>R-Unit Footprint</t>
  </si>
  <si>
    <t>R-Unit Perimeter</t>
  </si>
  <si>
    <t>Geotextile Unit Wrap</t>
  </si>
  <si>
    <t>Estimated Geotextile Unit Wrap:</t>
  </si>
  <si>
    <t>Base and Top Backfill Material</t>
  </si>
  <si>
    <t>Primary Elevations</t>
  </si>
  <si>
    <t>Top Cover Thickness</t>
  </si>
  <si>
    <t>Backfill Envelope</t>
  </si>
  <si>
    <t>Base Inv.</t>
  </si>
  <si>
    <t>Unit Inv.</t>
  </si>
  <si>
    <t>Unit Top</t>
  </si>
  <si>
    <t>Top Stone</t>
  </si>
  <si>
    <t>Min. Grade</t>
  </si>
  <si>
    <t>Max Grade</t>
  </si>
  <si>
    <t>Unit Void %</t>
  </si>
  <si>
    <t>Unit Type</t>
  </si>
  <si>
    <t>Unit Footprint</t>
  </si>
  <si>
    <t>System Elevations</t>
  </si>
  <si>
    <t>Stone Volume</t>
  </si>
  <si>
    <t>R-Unit Units</t>
  </si>
  <si>
    <t>Stage Increment</t>
  </si>
  <si>
    <t>Stone
Storage</t>
  </si>
  <si>
    <t>Total Storage</t>
  </si>
  <si>
    <t>Top Cover Storage Thickness</t>
  </si>
  <si>
    <t>Base Storage Thickness</t>
  </si>
  <si>
    <t>Estimated Geogrid:</t>
  </si>
  <si>
    <t># of Inspection Ports:</t>
  </si>
  <si>
    <t>Storage Capcacity</t>
  </si>
  <si>
    <t>Full Storage</t>
  </si>
  <si>
    <t>Full Storage Capacity</t>
  </si>
  <si>
    <t>Volume Provided</t>
  </si>
  <si>
    <t>Provided  Storage Volume:</t>
  </si>
  <si>
    <t>Desired Storage Volume</t>
  </si>
  <si>
    <t>Provided Storage Volume:</t>
  </si>
  <si>
    <t>30 mil. PVC</t>
  </si>
  <si>
    <t>City</t>
  </si>
  <si>
    <t>TBD</t>
  </si>
  <si>
    <t>R-Unit Footprint and Perimeter</t>
  </si>
  <si>
    <t>R-Tank System</t>
  </si>
  <si>
    <t>R-Tank Unit Type</t>
  </si>
  <si>
    <t>R-Tank</t>
  </si>
  <si>
    <t>R-TANK DESIGN TOOL - INPUTS</t>
  </si>
  <si>
    <t>R-TANK DESIGN TOOL - OUTPUTS</t>
  </si>
  <si>
    <t>R-TANK DESIGN TOOL - STAGE STORAGE TABLE</t>
  </si>
  <si>
    <r>
      <rPr>
        <b/>
        <u/>
        <sz val="10.5"/>
        <color theme="1"/>
        <rFont val="Calibri"/>
        <family val="2"/>
        <scheme val="minor"/>
      </rPr>
      <t>Layout Drawing Support:</t>
    </r>
    <r>
      <rPr>
        <u/>
        <sz val="10.5"/>
        <color theme="1"/>
        <rFont val="Calibri"/>
        <family val="2"/>
        <scheme val="minor"/>
      </rPr>
      <t xml:space="preserve"> </t>
    </r>
    <r>
      <rPr>
        <sz val="10.5"/>
        <color theme="1"/>
        <rFont val="Calibri"/>
        <family val="2"/>
        <scheme val="minor"/>
      </rPr>
      <t xml:space="preserve">
Please send a this document (all three sheets) with a copy of your plan set to infogeo@ferguson.com to receive a detailed set of layout drawings, details and specifications to include with your project submission.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</si>
</sst>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0.00&quot; in&quot;"/>
    <numFmt numFmtId="165" formatCode="0&quot; in&quot;"/>
    <numFmt numFmtId="166" formatCode="0.00&quot; ft&quot;"/>
    <numFmt numFmtId="167" formatCode="#,#00&quot; cf&quot;"/>
    <numFmt numFmtId="168" formatCode="0.00&quot;''&quot;"/>
    <numFmt numFmtId="169" formatCode="0.00&quot; CF&quot;"/>
    <numFmt numFmtId="170" formatCode="#,#00.00&quot; ft.&quot;"/>
    <numFmt numFmtId="171" formatCode="0.00&quot;'&quot;"/>
    <numFmt numFmtId="172" formatCode="0.00&quot; SF&quot;"/>
    <numFmt numFmtId="173" formatCode="0&quot; CF&quot;"/>
    <numFmt numFmtId="174" formatCode="0&quot;''&quot;"/>
    <numFmt numFmtId="175" formatCode="0&quot; CY&quot;"/>
    <numFmt numFmtId="176" formatCode="0&quot; LF&quot;"/>
    <numFmt numFmtId="177" formatCode="0&quot; sf&quot;"/>
    <numFmt numFmtId="178" formatCode="0&quot; sy&quot;"/>
    <numFmt numFmtId="179" formatCode="#,#00.00&quot; sf&quot;"/>
    <numFmt numFmtId="180" formatCode="0.00&quot; sf&quot;"/>
    <numFmt numFmtId="181" formatCode="#,##0&quot; sf&quot;"/>
    <numFmt numFmtId="182" formatCode="#,##0&quot; cy&quot;"/>
    <numFmt numFmtId="183" formatCode="&quot;(&quot;0&quot; sy)&quot;"/>
    <numFmt numFmtId="184" formatCode="#,##0.00&quot; cf&quot;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266">
    <xf numFmtId="0" fontId="0" fillId="0" borderId="0" xfId="0"/>
    <xf numFmtId="43" fontId="2" fillId="10" borderId="1" xfId="2" applyNumberFormat="1" applyFill="1" applyBorder="1" applyAlignment="1">
      <alignment horizontal="center" vertical="center"/>
    </xf>
    <xf numFmtId="43" fontId="2" fillId="7" borderId="1" xfId="2" applyNumberFormat="1" applyFill="1" applyBorder="1" applyAlignment="1">
      <alignment horizontal="center" vertical="center"/>
    </xf>
    <xf numFmtId="0" fontId="2" fillId="7" borderId="1" xfId="2" applyFill="1" applyBorder="1" applyAlignment="1">
      <alignment horizontal="center" vertical="center"/>
    </xf>
    <xf numFmtId="0" fontId="2" fillId="8" borderId="1" xfId="2" applyFill="1" applyBorder="1" applyAlignment="1">
      <alignment horizontal="center" vertical="center"/>
    </xf>
    <xf numFmtId="0" fontId="2" fillId="9" borderId="1" xfId="2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/>
    </xf>
    <xf numFmtId="1" fontId="5" fillId="10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1" fontId="2" fillId="7" borderId="1" xfId="2" applyNumberFormat="1" applyFill="1" applyBorder="1" applyAlignment="1">
      <alignment horizontal="center" vertical="center"/>
    </xf>
    <xf numFmtId="1" fontId="2" fillId="8" borderId="1" xfId="2" applyNumberFormat="1" applyFill="1" applyBorder="1" applyAlignment="1">
      <alignment horizontal="center" vertical="center"/>
    </xf>
    <xf numFmtId="1" fontId="2" fillId="9" borderId="1" xfId="2" applyNumberFormat="1" applyFill="1" applyBorder="1" applyAlignment="1">
      <alignment horizontal="center" vertical="center"/>
    </xf>
    <xf numFmtId="1" fontId="2" fillId="10" borderId="1" xfId="2" applyNumberFormat="1" applyFill="1" applyBorder="1" applyAlignment="1">
      <alignment horizontal="center" vertical="center"/>
    </xf>
    <xf numFmtId="0" fontId="2" fillId="6" borderId="1" xfId="2" applyFill="1" applyBorder="1" applyAlignment="1">
      <alignment horizontal="center" vertical="center" wrapText="1"/>
    </xf>
    <xf numFmtId="1" fontId="2" fillId="6" borderId="1" xfId="2" applyNumberFormat="1" applyFill="1" applyBorder="1" applyAlignment="1">
      <alignment horizontal="center" vertical="center" wrapText="1"/>
    </xf>
    <xf numFmtId="2" fontId="2" fillId="6" borderId="1" xfId="2" applyNumberFormat="1" applyFill="1" applyBorder="1" applyAlignment="1">
      <alignment horizontal="center" vertical="center" wrapText="1"/>
    </xf>
    <xf numFmtId="169" fontId="5" fillId="7" borderId="1" xfId="0" applyNumberFormat="1" applyFont="1" applyFill="1" applyBorder="1" applyAlignment="1">
      <alignment horizontal="center" vertical="center"/>
    </xf>
    <xf numFmtId="169" fontId="5" fillId="8" borderId="1" xfId="0" applyNumberFormat="1" applyFont="1" applyFill="1" applyBorder="1" applyAlignment="1">
      <alignment horizontal="center" vertical="center"/>
    </xf>
    <xf numFmtId="169" fontId="5" fillId="9" borderId="1" xfId="0" applyNumberFormat="1" applyFont="1" applyFill="1" applyBorder="1" applyAlignment="1">
      <alignment horizontal="center" vertical="center"/>
    </xf>
    <xf numFmtId="169" fontId="5" fillId="10" borderId="1" xfId="0" applyNumberFormat="1" applyFont="1" applyFill="1" applyBorder="1" applyAlignment="1">
      <alignment horizontal="center" vertical="center"/>
    </xf>
    <xf numFmtId="0" fontId="0" fillId="6" borderId="1" xfId="2" applyFont="1" applyFill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center" vertical="center"/>
    </xf>
    <xf numFmtId="166" fontId="5" fillId="8" borderId="1" xfId="0" applyNumberFormat="1" applyFont="1" applyFill="1" applyBorder="1" applyAlignment="1">
      <alignment horizontal="center" vertical="center"/>
    </xf>
    <xf numFmtId="166" fontId="5" fillId="9" borderId="1" xfId="0" applyNumberFormat="1" applyFont="1" applyFill="1" applyBorder="1" applyAlignment="1">
      <alignment horizontal="center" vertical="center"/>
    </xf>
    <xf numFmtId="166" fontId="5" fillId="11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8" fontId="2" fillId="7" borderId="1" xfId="2" applyNumberFormat="1" applyFill="1" applyBorder="1" applyAlignment="1">
      <alignment horizontal="center" vertical="center"/>
    </xf>
    <xf numFmtId="168" fontId="2" fillId="8" borderId="1" xfId="2" applyNumberFormat="1" applyFill="1" applyBorder="1" applyAlignment="1">
      <alignment horizontal="center" vertical="center"/>
    </xf>
    <xf numFmtId="168" fontId="2" fillId="9" borderId="1" xfId="2" applyNumberFormat="1" applyFill="1" applyBorder="1" applyAlignment="1">
      <alignment horizontal="center" vertical="center"/>
    </xf>
    <xf numFmtId="168" fontId="2" fillId="10" borderId="1" xfId="2" applyNumberFormat="1" applyFill="1" applyBorder="1" applyAlignment="1">
      <alignment horizontal="center" vertical="center"/>
    </xf>
    <xf numFmtId="2" fontId="2" fillId="7" borderId="1" xfId="2" applyNumberFormat="1" applyFill="1" applyBorder="1" applyAlignment="1">
      <alignment horizontal="center" vertical="center"/>
    </xf>
    <xf numFmtId="2" fontId="2" fillId="8" borderId="1" xfId="2" applyNumberFormat="1" applyFill="1" applyBorder="1" applyAlignment="1">
      <alignment horizontal="center" vertical="center"/>
    </xf>
    <xf numFmtId="2" fontId="2" fillId="9" borderId="1" xfId="2" applyNumberFormat="1" applyFill="1" applyBorder="1" applyAlignment="1">
      <alignment horizontal="center" vertical="center"/>
    </xf>
    <xf numFmtId="2" fontId="2" fillId="10" borderId="1" xfId="2" applyNumberFormat="1" applyFill="1" applyBorder="1" applyAlignment="1">
      <alignment horizontal="center" vertical="center"/>
    </xf>
    <xf numFmtId="0" fontId="4" fillId="13" borderId="0" xfId="0" applyFont="1" applyFill="1"/>
    <xf numFmtId="2" fontId="4" fillId="13" borderId="0" xfId="0" applyNumberFormat="1" applyFont="1" applyFill="1"/>
    <xf numFmtId="4" fontId="4" fillId="13" borderId="0" xfId="0" applyNumberFormat="1" applyFont="1" applyFill="1"/>
    <xf numFmtId="4" fontId="4" fillId="13" borderId="0" xfId="0" applyNumberFormat="1" applyFont="1" applyFill="1" applyAlignment="1">
      <alignment horizontal="center"/>
    </xf>
    <xf numFmtId="4" fontId="8" fillId="13" borderId="0" xfId="0" applyNumberFormat="1" applyFont="1" applyFill="1" applyAlignment="1">
      <alignment horizontal="center"/>
    </xf>
    <xf numFmtId="4" fontId="7" fillId="13" borderId="0" xfId="0" applyNumberFormat="1" applyFont="1" applyFill="1" applyAlignment="1">
      <alignment horizontal="center"/>
    </xf>
    <xf numFmtId="4" fontId="7" fillId="13" borderId="20" xfId="0" applyNumberFormat="1" applyFont="1" applyFill="1" applyBorder="1" applyAlignment="1">
      <alignment horizontal="center"/>
    </xf>
    <xf numFmtId="4" fontId="7" fillId="13" borderId="3" xfId="0" applyNumberFormat="1" applyFont="1" applyFill="1" applyBorder="1" applyAlignment="1">
      <alignment horizontal="center"/>
    </xf>
    <xf numFmtId="4" fontId="7" fillId="1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0" fillId="3" borderId="9" xfId="0" applyFont="1" applyFill="1" applyBorder="1" applyProtection="1">
      <protection hidden="1"/>
    </xf>
    <xf numFmtId="0" fontId="10" fillId="3" borderId="10" xfId="0" applyFont="1" applyFill="1" applyBorder="1" applyProtection="1">
      <protection hidden="1"/>
    </xf>
    <xf numFmtId="0" fontId="10" fillId="3" borderId="10" xfId="0" applyFont="1" applyFill="1" applyBorder="1" applyAlignment="1" applyProtection="1">
      <alignment horizontal="center"/>
      <protection hidden="1"/>
    </xf>
    <xf numFmtId="0" fontId="10" fillId="3" borderId="11" xfId="0" applyFont="1" applyFill="1" applyBorder="1" applyProtection="1">
      <protection hidden="1"/>
    </xf>
    <xf numFmtId="0" fontId="10" fillId="3" borderId="12" xfId="0" applyFont="1" applyFill="1" applyBorder="1" applyProtection="1">
      <protection hidden="1"/>
    </xf>
    <xf numFmtId="0" fontId="10" fillId="3" borderId="15" xfId="0" applyFont="1" applyFill="1" applyBorder="1" applyProtection="1">
      <protection hidden="1"/>
    </xf>
    <xf numFmtId="0" fontId="10" fillId="3" borderId="5" xfId="0" applyFont="1" applyFill="1" applyBorder="1" applyProtection="1">
      <protection hidden="1"/>
    </xf>
    <xf numFmtId="0" fontId="10" fillId="3" borderId="5" xfId="0" applyFont="1" applyFill="1" applyBorder="1" applyAlignment="1" applyProtection="1">
      <alignment horizontal="right" indent="1"/>
      <protection hidden="1"/>
    </xf>
    <xf numFmtId="0" fontId="10" fillId="3" borderId="16" xfId="0" applyFont="1" applyFill="1" applyBorder="1" applyProtection="1">
      <protection hidden="1"/>
    </xf>
    <xf numFmtId="0" fontId="10" fillId="3" borderId="18" xfId="0" applyFont="1" applyFill="1" applyBorder="1" applyProtection="1">
      <protection hidden="1"/>
    </xf>
    <xf numFmtId="0" fontId="10" fillId="5" borderId="10" xfId="0" applyFont="1" applyFill="1" applyBorder="1" applyProtection="1">
      <protection hidden="1"/>
    </xf>
    <xf numFmtId="0" fontId="10" fillId="5" borderId="12" xfId="0" applyFont="1" applyFill="1" applyBorder="1" applyProtection="1">
      <protection hidden="1"/>
    </xf>
    <xf numFmtId="0" fontId="10" fillId="5" borderId="15" xfId="0" applyFont="1" applyFill="1" applyBorder="1" applyProtection="1">
      <protection hidden="1"/>
    </xf>
    <xf numFmtId="4" fontId="10" fillId="5" borderId="28" xfId="0" applyNumberFormat="1" applyFont="1" applyFill="1" applyBorder="1" applyAlignment="1" applyProtection="1">
      <alignment horizontal="center"/>
      <protection hidden="1"/>
    </xf>
    <xf numFmtId="4" fontId="10" fillId="5" borderId="29" xfId="0" applyNumberFormat="1" applyFont="1" applyFill="1" applyBorder="1" applyAlignment="1" applyProtection="1">
      <alignment horizontal="center"/>
      <protection hidden="1"/>
    </xf>
    <xf numFmtId="4" fontId="10" fillId="5" borderId="21" xfId="0" applyNumberFormat="1" applyFont="1" applyFill="1" applyBorder="1" applyAlignment="1" applyProtection="1">
      <alignment horizontal="center"/>
      <protection hidden="1"/>
    </xf>
    <xf numFmtId="4" fontId="10" fillId="5" borderId="1" xfId="0" applyNumberFormat="1" applyFont="1" applyFill="1" applyBorder="1" applyAlignment="1" applyProtection="1">
      <alignment horizontal="center"/>
      <protection hidden="1"/>
    </xf>
    <xf numFmtId="4" fontId="10" fillId="5" borderId="22" xfId="0" applyNumberFormat="1" applyFont="1" applyFill="1" applyBorder="1" applyAlignment="1" applyProtection="1">
      <alignment horizontal="center"/>
      <protection hidden="1"/>
    </xf>
    <xf numFmtId="4" fontId="10" fillId="5" borderId="23" xfId="0" applyNumberFormat="1" applyFont="1" applyFill="1" applyBorder="1" applyAlignment="1" applyProtection="1">
      <alignment horizontal="center"/>
      <protection hidden="1"/>
    </xf>
    <xf numFmtId="4" fontId="10" fillId="5" borderId="24" xfId="0" applyNumberFormat="1" applyFont="1" applyFill="1" applyBorder="1" applyAlignment="1" applyProtection="1">
      <alignment horizontal="center"/>
      <protection hidden="1"/>
    </xf>
    <xf numFmtId="4" fontId="10" fillId="5" borderId="25" xfId="0" applyNumberFormat="1" applyFont="1" applyFill="1" applyBorder="1" applyAlignment="1" applyProtection="1">
      <alignment horizontal="center"/>
      <protection hidden="1"/>
    </xf>
    <xf numFmtId="0" fontId="10" fillId="3" borderId="30" xfId="0" applyFont="1" applyFill="1" applyBorder="1" applyAlignment="1" applyProtection="1">
      <alignment horizontal="center"/>
      <protection hidden="1"/>
    </xf>
    <xf numFmtId="0" fontId="10" fillId="3" borderId="31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right" indent="1"/>
      <protection hidden="1"/>
    </xf>
    <xf numFmtId="0" fontId="9" fillId="3" borderId="5" xfId="0" applyFont="1" applyFill="1" applyBorder="1" applyProtection="1">
      <protection hidden="1"/>
    </xf>
    <xf numFmtId="2" fontId="9" fillId="3" borderId="5" xfId="0" applyNumberFormat="1" applyFont="1" applyFill="1" applyBorder="1" applyProtection="1">
      <protection hidden="1"/>
    </xf>
    <xf numFmtId="0" fontId="7" fillId="0" borderId="0" xfId="0" applyFont="1" applyAlignment="1">
      <alignment horizontal="right"/>
    </xf>
    <xf numFmtId="0" fontId="12" fillId="0" borderId="0" xfId="0" applyFont="1"/>
    <xf numFmtId="0" fontId="7" fillId="0" borderId="0" xfId="0" applyFont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right"/>
    </xf>
    <xf numFmtId="169" fontId="7" fillId="0" borderId="1" xfId="0" applyNumberFormat="1" applyFont="1" applyBorder="1" applyAlignment="1">
      <alignment horizontal="center"/>
    </xf>
    <xf numFmtId="171" fontId="7" fillId="0" borderId="0" xfId="0" applyNumberFormat="1" applyFont="1"/>
    <xf numFmtId="0" fontId="12" fillId="0" borderId="0" xfId="0" applyFont="1" applyAlignment="1">
      <alignment horizontal="right"/>
    </xf>
    <xf numFmtId="2" fontId="7" fillId="0" borderId="1" xfId="0" quotePrefix="1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9" fontId="7" fillId="0" borderId="0" xfId="0" applyNumberFormat="1" applyFont="1"/>
    <xf numFmtId="0" fontId="13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168" fontId="7" fillId="0" borderId="1" xfId="0" applyNumberFormat="1" applyFont="1" applyBorder="1" applyAlignment="1">
      <alignment horizontal="center"/>
    </xf>
    <xf numFmtId="174" fontId="7" fillId="0" borderId="1" xfId="0" applyNumberFormat="1" applyFont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5" fontId="7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right"/>
    </xf>
    <xf numFmtId="0" fontId="7" fillId="6" borderId="13" xfId="0" applyFont="1" applyFill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180" fontId="7" fillId="0" borderId="1" xfId="0" applyNumberFormat="1" applyFont="1" applyBorder="1" applyAlignment="1">
      <alignment horizontal="center"/>
    </xf>
    <xf numFmtId="178" fontId="7" fillId="0" borderId="1" xfId="0" applyNumberFormat="1" applyFont="1" applyBorder="1" applyAlignment="1">
      <alignment horizontal="center"/>
    </xf>
    <xf numFmtId="2" fontId="7" fillId="0" borderId="0" xfId="0" applyNumberFormat="1" applyFont="1"/>
    <xf numFmtId="9" fontId="7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0" fontId="7" fillId="6" borderId="1" xfId="0" applyFont="1" applyFill="1" applyBorder="1"/>
    <xf numFmtId="2" fontId="7" fillId="0" borderId="1" xfId="0" applyNumberFormat="1" applyFont="1" applyBorder="1"/>
    <xf numFmtId="0" fontId="4" fillId="13" borderId="0" xfId="0" applyFont="1" applyFill="1" applyAlignment="1">
      <alignment horizontal="right"/>
    </xf>
    <xf numFmtId="0" fontId="4" fillId="13" borderId="0" xfId="0" applyFont="1" applyFill="1" applyAlignment="1">
      <alignment horizontal="left"/>
    </xf>
    <xf numFmtId="4" fontId="7" fillId="13" borderId="0" xfId="0" applyNumberFormat="1" applyFont="1" applyFill="1" applyAlignment="1">
      <alignment horizontal="center" wrapText="1"/>
    </xf>
    <xf numFmtId="0" fontId="9" fillId="5" borderId="9" xfId="0" applyFont="1" applyFill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 applyProtection="1">
      <alignment horizontal="center" vertical="center"/>
      <protection hidden="1"/>
    </xf>
    <xf numFmtId="0" fontId="9" fillId="5" borderId="11" xfId="0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 applyProtection="1">
      <alignment horizontal="center"/>
      <protection hidden="1"/>
    </xf>
    <xf numFmtId="0" fontId="10" fillId="3" borderId="17" xfId="0" applyFont="1" applyFill="1" applyBorder="1" applyProtection="1">
      <protection hidden="1"/>
    </xf>
    <xf numFmtId="2" fontId="4" fillId="13" borderId="0" xfId="0" applyNumberFormat="1" applyFont="1" applyFill="1" applyAlignment="1">
      <alignment horizontal="right"/>
    </xf>
    <xf numFmtId="9" fontId="4" fillId="13" borderId="0" xfId="1" applyFont="1" applyFill="1" applyAlignment="1">
      <alignment horizontal="right"/>
    </xf>
    <xf numFmtId="179" fontId="4" fillId="13" borderId="0" xfId="0" applyNumberFormat="1" applyFont="1" applyFill="1" applyAlignment="1">
      <alignment horizontal="right"/>
    </xf>
    <xf numFmtId="4" fontId="10" fillId="5" borderId="32" xfId="0" applyNumberFormat="1" applyFont="1" applyFill="1" applyBorder="1" applyAlignment="1" applyProtection="1">
      <alignment horizontal="center"/>
      <protection hidden="1"/>
    </xf>
    <xf numFmtId="4" fontId="10" fillId="5" borderId="14" xfId="0" applyNumberFormat="1" applyFont="1" applyFill="1" applyBorder="1" applyAlignment="1" applyProtection="1">
      <alignment horizontal="center"/>
      <protection hidden="1"/>
    </xf>
    <xf numFmtId="2" fontId="10" fillId="3" borderId="10" xfId="0" applyNumberFormat="1" applyFont="1" applyFill="1" applyBorder="1" applyAlignment="1" applyProtection="1">
      <alignment horizontal="center"/>
      <protection hidden="1"/>
    </xf>
    <xf numFmtId="4" fontId="7" fillId="13" borderId="4" xfId="0" applyNumberFormat="1" applyFont="1" applyFill="1" applyBorder="1" applyAlignment="1">
      <alignment horizontal="center"/>
    </xf>
    <xf numFmtId="4" fontId="7" fillId="13" borderId="34" xfId="0" applyNumberFormat="1" applyFont="1" applyFill="1" applyBorder="1" applyAlignment="1">
      <alignment horizontal="center"/>
    </xf>
    <xf numFmtId="4" fontId="7" fillId="13" borderId="33" xfId="0" applyNumberFormat="1" applyFont="1" applyFill="1" applyBorder="1" applyAlignment="1">
      <alignment horizontal="center"/>
    </xf>
    <xf numFmtId="4" fontId="4" fillId="13" borderId="30" xfId="0" applyNumberFormat="1" applyFont="1" applyFill="1" applyBorder="1"/>
    <xf numFmtId="4" fontId="4" fillId="13" borderId="27" xfId="0" applyNumberFormat="1" applyFont="1" applyFill="1" applyBorder="1"/>
    <xf numFmtId="4" fontId="4" fillId="13" borderId="26" xfId="0" applyNumberFormat="1" applyFont="1" applyFill="1" applyBorder="1"/>
    <xf numFmtId="4" fontId="10" fillId="5" borderId="36" xfId="0" applyNumberFormat="1" applyFont="1" applyFill="1" applyBorder="1" applyAlignment="1" applyProtection="1">
      <alignment horizontal="center"/>
      <protection hidden="1"/>
    </xf>
    <xf numFmtId="4" fontId="10" fillId="5" borderId="37" xfId="0" applyNumberFormat="1" applyFont="1" applyFill="1" applyBorder="1" applyAlignment="1" applyProtection="1">
      <alignment horizontal="center"/>
      <protection hidden="1"/>
    </xf>
    <xf numFmtId="0" fontId="9" fillId="3" borderId="5" xfId="0" applyFont="1" applyFill="1" applyBorder="1" applyAlignment="1" applyProtection="1">
      <alignment horizontal="center"/>
      <protection hidden="1"/>
    </xf>
    <xf numFmtId="4" fontId="4" fillId="10" borderId="35" xfId="0" applyNumberFormat="1" applyFont="1" applyFill="1" applyBorder="1" applyAlignment="1">
      <alignment horizontal="center"/>
    </xf>
    <xf numFmtId="4" fontId="4" fillId="10" borderId="14" xfId="0" applyNumberFormat="1" applyFont="1" applyFill="1" applyBorder="1" applyAlignment="1">
      <alignment horizontal="center"/>
    </xf>
    <xf numFmtId="4" fontId="7" fillId="10" borderId="3" xfId="0" applyNumberFormat="1" applyFont="1" applyFill="1" applyBorder="1" applyAlignment="1">
      <alignment horizontal="center" wrapText="1"/>
    </xf>
    <xf numFmtId="4" fontId="7" fillId="10" borderId="3" xfId="0" applyNumberFormat="1" applyFont="1" applyFill="1" applyBorder="1" applyAlignment="1">
      <alignment horizontal="center"/>
    </xf>
    <xf numFmtId="4" fontId="7" fillId="10" borderId="0" xfId="0" applyNumberFormat="1" applyFont="1" applyFill="1" applyAlignment="1">
      <alignment horizontal="center"/>
    </xf>
    <xf numFmtId="4" fontId="7" fillId="10" borderId="4" xfId="0" applyNumberFormat="1" applyFont="1" applyFill="1" applyBorder="1" applyAlignment="1">
      <alignment horizontal="center"/>
    </xf>
    <xf numFmtId="4" fontId="8" fillId="10" borderId="13" xfId="0" applyNumberFormat="1" applyFont="1" applyFill="1" applyBorder="1" applyAlignment="1">
      <alignment horizontal="center"/>
    </xf>
    <xf numFmtId="0" fontId="9" fillId="5" borderId="0" xfId="0" applyFont="1" applyFill="1" applyAlignment="1" applyProtection="1">
      <alignment horizontal="center" vertical="center"/>
      <protection hidden="1"/>
    </xf>
    <xf numFmtId="2" fontId="10" fillId="3" borderId="0" xfId="0" applyNumberFormat="1" applyFont="1" applyFill="1" applyAlignment="1" applyProtection="1">
      <alignment horizontal="center"/>
      <protection hidden="1"/>
    </xf>
    <xf numFmtId="0" fontId="10" fillId="5" borderId="0" xfId="0" applyFont="1" applyFill="1" applyProtection="1">
      <protection hidden="1"/>
    </xf>
    <xf numFmtId="0" fontId="10" fillId="3" borderId="0" xfId="0" applyFont="1" applyFill="1" applyAlignment="1" applyProtection="1">
      <alignment horizontal="right" indent="1"/>
      <protection hidden="1"/>
    </xf>
    <xf numFmtId="178" fontId="10" fillId="5" borderId="0" xfId="0" applyNumberFormat="1" applyFont="1" applyFill="1" applyAlignment="1" applyProtection="1">
      <alignment horizontal="center"/>
      <protection hidden="1"/>
    </xf>
    <xf numFmtId="181" fontId="10" fillId="5" borderId="0" xfId="0" applyNumberFormat="1" applyFont="1" applyFill="1" applyAlignment="1" applyProtection="1">
      <alignment horizontal="center"/>
      <protection hidden="1"/>
    </xf>
    <xf numFmtId="183" fontId="10" fillId="5" borderId="0" xfId="0" applyNumberFormat="1" applyFont="1" applyFill="1" applyAlignment="1" applyProtection="1">
      <alignment horizontal="center"/>
      <protection hidden="1"/>
    </xf>
    <xf numFmtId="0" fontId="9" fillId="5" borderId="0" xfId="0" applyFont="1" applyFill="1" applyAlignment="1" applyProtection="1">
      <alignment horizontal="right" vertical="center"/>
      <protection hidden="1"/>
    </xf>
    <xf numFmtId="0" fontId="10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9" fillId="3" borderId="0" xfId="0" applyFont="1" applyFill="1" applyProtection="1">
      <protection hidden="1"/>
    </xf>
    <xf numFmtId="0" fontId="9" fillId="3" borderId="0" xfId="0" applyFont="1" applyFill="1" applyAlignment="1" applyProtection="1">
      <alignment horizontal="right" indent="1"/>
      <protection hidden="1"/>
    </xf>
    <xf numFmtId="0" fontId="10" fillId="2" borderId="0" xfId="0" applyFont="1" applyFill="1" applyAlignment="1" applyProtection="1">
      <alignment horizontal="right" indent="1"/>
      <protection hidden="1"/>
    </xf>
    <xf numFmtId="0" fontId="10" fillId="3" borderId="38" xfId="0" applyFont="1" applyFill="1" applyBorder="1" applyAlignment="1" applyProtection="1">
      <alignment horizontal="center"/>
      <protection hidden="1"/>
    </xf>
    <xf numFmtId="2" fontId="10" fillId="3" borderId="0" xfId="0" applyNumberFormat="1" applyFont="1" applyFill="1" applyProtection="1">
      <protection hidden="1"/>
    </xf>
    <xf numFmtId="2" fontId="10" fillId="3" borderId="0" xfId="0" applyNumberFormat="1" applyFont="1" applyFill="1" applyAlignment="1" applyProtection="1">
      <alignment horizontal="right" indent="1"/>
      <protection hidden="1"/>
    </xf>
    <xf numFmtId="0" fontId="0" fillId="0" borderId="0" xfId="0" applyProtection="1">
      <protection hidden="1"/>
    </xf>
    <xf numFmtId="0" fontId="9" fillId="15" borderId="9" xfId="0" applyFont="1" applyFill="1" applyBorder="1" applyAlignment="1" applyProtection="1">
      <alignment horizontal="center"/>
      <protection hidden="1"/>
    </xf>
    <xf numFmtId="0" fontId="9" fillId="15" borderId="10" xfId="0" applyFont="1" applyFill="1" applyBorder="1" applyAlignment="1" applyProtection="1">
      <alignment horizontal="center"/>
      <protection hidden="1"/>
    </xf>
    <xf numFmtId="0" fontId="9" fillId="15" borderId="11" xfId="0" applyFont="1" applyFill="1" applyBorder="1" applyAlignment="1" applyProtection="1">
      <alignment horizontal="center"/>
      <protection hidden="1"/>
    </xf>
    <xf numFmtId="0" fontId="9" fillId="15" borderId="9" xfId="0" applyFont="1" applyFill="1" applyBorder="1" applyAlignment="1" applyProtection="1">
      <alignment horizontal="center" vertical="center" wrapText="1"/>
      <protection hidden="1"/>
    </xf>
    <xf numFmtId="0" fontId="9" fillId="15" borderId="10" xfId="0" applyFont="1" applyFill="1" applyBorder="1" applyAlignment="1" applyProtection="1">
      <alignment horizontal="center" vertical="center" wrapText="1"/>
      <protection hidden="1"/>
    </xf>
    <xf numFmtId="0" fontId="9" fillId="15" borderId="1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9" fillId="15" borderId="12" xfId="0" applyFont="1" applyFill="1" applyBorder="1" applyAlignment="1" applyProtection="1">
      <alignment horizontal="center"/>
      <protection hidden="1"/>
    </xf>
    <xf numFmtId="0" fontId="9" fillId="15" borderId="0" xfId="0" applyFont="1" applyFill="1" applyAlignment="1" applyProtection="1">
      <alignment horizontal="right"/>
      <protection hidden="1"/>
    </xf>
    <xf numFmtId="0" fontId="9" fillId="15" borderId="0" xfId="0" applyFont="1" applyFill="1" applyProtection="1">
      <protection hidden="1"/>
    </xf>
    <xf numFmtId="0" fontId="9" fillId="15" borderId="0" xfId="0" applyFont="1" applyFill="1" applyAlignment="1" applyProtection="1">
      <alignment horizontal="right" indent="1"/>
      <protection hidden="1"/>
    </xf>
    <xf numFmtId="14" fontId="6" fillId="15" borderId="0" xfId="0" applyNumberFormat="1" applyFont="1" applyFill="1" applyAlignment="1" applyProtection="1">
      <alignment horizontal="left"/>
      <protection hidden="1"/>
    </xf>
    <xf numFmtId="0" fontId="9" fillId="15" borderId="15" xfId="0" applyFont="1" applyFill="1" applyBorder="1" applyAlignment="1" applyProtection="1">
      <alignment horizontal="center"/>
      <protection hidden="1"/>
    </xf>
    <xf numFmtId="0" fontId="9" fillId="15" borderId="12" xfId="0" applyFont="1" applyFill="1" applyBorder="1" applyAlignment="1" applyProtection="1">
      <alignment horizontal="center" vertical="center" wrapText="1"/>
      <protection hidden="1"/>
    </xf>
    <xf numFmtId="0" fontId="9" fillId="15" borderId="0" xfId="0" applyFont="1" applyFill="1" applyAlignment="1" applyProtection="1">
      <alignment vertical="center"/>
      <protection hidden="1"/>
    </xf>
    <xf numFmtId="0" fontId="9" fillId="15" borderId="15" xfId="0" applyFont="1" applyFill="1" applyBorder="1" applyAlignment="1" applyProtection="1">
      <alignment horizontal="center" vertical="center" wrapText="1"/>
      <protection hidden="1"/>
    </xf>
    <xf numFmtId="0" fontId="9" fillId="15" borderId="0" xfId="0" applyFont="1" applyFill="1" applyAlignment="1" applyProtection="1">
      <alignment horizontal="center"/>
      <protection hidden="1"/>
    </xf>
    <xf numFmtId="0" fontId="9" fillId="15" borderId="0" xfId="0" applyFont="1" applyFill="1" applyAlignment="1" applyProtection="1">
      <alignment horizontal="left"/>
      <protection hidden="1"/>
    </xf>
    <xf numFmtId="0" fontId="9" fillId="15" borderId="0" xfId="0" applyFont="1" applyFill="1" applyAlignment="1" applyProtection="1">
      <alignment vertical="center" wrapText="1"/>
      <protection hidden="1"/>
    </xf>
    <xf numFmtId="0" fontId="9" fillId="15" borderId="16" xfId="0" applyFont="1" applyFill="1" applyBorder="1" applyAlignment="1" applyProtection="1">
      <alignment horizontal="center"/>
      <protection hidden="1"/>
    </xf>
    <xf numFmtId="0" fontId="9" fillId="15" borderId="17" xfId="0" applyFont="1" applyFill="1" applyBorder="1" applyAlignment="1" applyProtection="1">
      <alignment horizontal="center"/>
      <protection hidden="1"/>
    </xf>
    <xf numFmtId="0" fontId="9" fillId="15" borderId="18" xfId="0" applyFont="1" applyFill="1" applyBorder="1" applyAlignment="1" applyProtection="1">
      <alignment horizontal="center"/>
      <protection hidden="1"/>
    </xf>
    <xf numFmtId="0" fontId="9" fillId="15" borderId="16" xfId="0" applyFont="1" applyFill="1" applyBorder="1" applyAlignment="1" applyProtection="1">
      <alignment horizontal="center" vertical="center" wrapText="1"/>
      <protection hidden="1"/>
    </xf>
    <xf numFmtId="0" fontId="9" fillId="15" borderId="17" xfId="0" applyFont="1" applyFill="1" applyBorder="1" applyAlignment="1" applyProtection="1">
      <alignment horizontal="center" vertical="center" wrapText="1"/>
      <protection hidden="1"/>
    </xf>
    <xf numFmtId="0" fontId="9" fillId="15" borderId="18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9" fillId="2" borderId="15" xfId="0" applyFont="1" applyFill="1" applyBorder="1" applyAlignment="1" applyProtection="1">
      <alignment vertical="center"/>
      <protection hidden="1"/>
    </xf>
    <xf numFmtId="0" fontId="9" fillId="2" borderId="16" xfId="0" applyFont="1" applyFill="1" applyBorder="1" applyAlignment="1" applyProtection="1">
      <alignment vertical="center"/>
      <protection hidden="1"/>
    </xf>
    <xf numFmtId="0" fontId="9" fillId="2" borderId="17" xfId="0" applyFont="1" applyFill="1" applyBorder="1" applyAlignment="1" applyProtection="1">
      <alignment vertical="center"/>
      <protection hidden="1"/>
    </xf>
    <xf numFmtId="166" fontId="10" fillId="2" borderId="17" xfId="0" applyNumberFormat="1" applyFont="1" applyFill="1" applyBorder="1" applyAlignment="1" applyProtection="1">
      <alignment horizontal="center"/>
      <protection hidden="1"/>
    </xf>
    <xf numFmtId="0" fontId="9" fillId="2" borderId="18" xfId="0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5" borderId="0" xfId="0" applyFont="1" applyFill="1" applyAlignment="1" applyProtection="1">
      <alignment horizontal="center"/>
      <protection hidden="1"/>
    </xf>
    <xf numFmtId="0" fontId="10" fillId="5" borderId="9" xfId="0" applyFont="1" applyFill="1" applyBorder="1" applyProtection="1">
      <protection hidden="1"/>
    </xf>
    <xf numFmtId="0" fontId="10" fillId="5" borderId="11" xfId="0" applyFont="1" applyFill="1" applyBorder="1" applyProtection="1">
      <protection hidden="1"/>
    </xf>
    <xf numFmtId="0" fontId="10" fillId="12" borderId="16" xfId="0" applyFont="1" applyFill="1" applyBorder="1" applyProtection="1">
      <protection hidden="1"/>
    </xf>
    <xf numFmtId="0" fontId="10" fillId="12" borderId="17" xfId="0" applyFont="1" applyFill="1" applyBorder="1" applyProtection="1">
      <protection hidden="1"/>
    </xf>
    <xf numFmtId="0" fontId="10" fillId="12" borderId="17" xfId="0" applyFont="1" applyFill="1" applyBorder="1" applyAlignment="1" applyProtection="1">
      <alignment horizontal="center"/>
      <protection hidden="1"/>
    </xf>
    <xf numFmtId="0" fontId="10" fillId="12" borderId="18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10" fillId="4" borderId="19" xfId="0" applyNumberFormat="1" applyFont="1" applyFill="1" applyBorder="1" applyAlignment="1" applyProtection="1">
      <alignment horizontal="center"/>
      <protection locked="0" hidden="1"/>
    </xf>
    <xf numFmtId="0" fontId="9" fillId="0" borderId="1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 wrapText="1"/>
    </xf>
    <xf numFmtId="175" fontId="7" fillId="0" borderId="0" xfId="0" applyNumberFormat="1" applyFont="1" applyAlignment="1">
      <alignment horizontal="center"/>
    </xf>
    <xf numFmtId="0" fontId="10" fillId="4" borderId="1" xfId="0" applyFont="1" applyFill="1" applyBorder="1" applyAlignment="1" applyProtection="1">
      <alignment horizontal="center"/>
      <protection locked="0" hidden="1"/>
    </xf>
    <xf numFmtId="165" fontId="11" fillId="4" borderId="1" xfId="0" applyNumberFormat="1" applyFont="1" applyFill="1" applyBorder="1" applyAlignment="1" applyProtection="1">
      <alignment horizontal="center"/>
      <protection locked="0" hidden="1"/>
    </xf>
    <xf numFmtId="1" fontId="11" fillId="4" borderId="1" xfId="0" applyNumberFormat="1" applyFont="1" applyFill="1" applyBorder="1" applyAlignment="1" applyProtection="1">
      <alignment horizontal="center"/>
      <protection locked="0" hidden="1"/>
    </xf>
    <xf numFmtId="9" fontId="11" fillId="4" borderId="1" xfId="1" applyFont="1" applyFill="1" applyBorder="1" applyAlignment="1" applyProtection="1">
      <alignment horizontal="center"/>
      <protection locked="0" hidden="1"/>
    </xf>
    <xf numFmtId="2" fontId="10" fillId="4" borderId="1" xfId="0" applyNumberFormat="1" applyFont="1" applyFill="1" applyBorder="1" applyAlignment="1" applyProtection="1">
      <alignment horizontal="center"/>
      <protection locked="0" hidden="1"/>
    </xf>
    <xf numFmtId="0" fontId="11" fillId="4" borderId="1" xfId="0" applyFont="1" applyFill="1" applyBorder="1" applyAlignment="1" applyProtection="1">
      <alignment horizontal="center"/>
      <protection locked="0" hidden="1"/>
    </xf>
    <xf numFmtId="2" fontId="10" fillId="0" borderId="1" xfId="0" applyNumberFormat="1" applyFont="1" applyBorder="1" applyAlignment="1" applyProtection="1">
      <alignment horizontal="center"/>
      <protection locked="0" hidden="1"/>
    </xf>
    <xf numFmtId="179" fontId="10" fillId="4" borderId="1" xfId="0" applyNumberFormat="1" applyFont="1" applyFill="1" applyBorder="1" applyAlignment="1" applyProtection="1">
      <alignment horizontal="center"/>
      <protection locked="0" hidden="1"/>
    </xf>
    <xf numFmtId="170" fontId="10" fillId="4" borderId="1" xfId="0" applyNumberFormat="1" applyFont="1" applyFill="1" applyBorder="1" applyAlignment="1" applyProtection="1">
      <alignment horizontal="center"/>
      <protection locked="0" hidden="1"/>
    </xf>
    <xf numFmtId="166" fontId="10" fillId="0" borderId="1" xfId="0" applyNumberFormat="1" applyFont="1" applyBorder="1" applyAlignment="1" applyProtection="1">
      <alignment horizontal="center"/>
      <protection locked="0" hidden="1"/>
    </xf>
    <xf numFmtId="0" fontId="10" fillId="5" borderId="0" xfId="0" applyFont="1" applyFill="1" applyAlignment="1" applyProtection="1">
      <alignment horizontal="left" vertical="top" wrapText="1"/>
      <protection hidden="1"/>
    </xf>
    <xf numFmtId="0" fontId="10" fillId="5" borderId="0" xfId="0" applyFont="1" applyFill="1" applyAlignment="1" applyProtection="1">
      <alignment horizontal="left" vertical="top"/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167" fontId="10" fillId="4" borderId="13" xfId="0" applyNumberFormat="1" applyFont="1" applyFill="1" applyBorder="1" applyAlignment="1" applyProtection="1">
      <alignment horizontal="center"/>
      <protection locked="0" hidden="1"/>
    </xf>
    <xf numFmtId="167" fontId="10" fillId="4" borderId="14" xfId="0" applyNumberFormat="1" applyFont="1" applyFill="1" applyBorder="1" applyAlignment="1" applyProtection="1">
      <alignment horizontal="center"/>
      <protection locked="0" hidden="1"/>
    </xf>
    <xf numFmtId="0" fontId="9" fillId="3" borderId="0" xfId="0" applyFont="1" applyFill="1" applyAlignment="1" applyProtection="1">
      <alignment horizontal="center"/>
      <protection hidden="1"/>
    </xf>
    <xf numFmtId="0" fontId="9" fillId="3" borderId="5" xfId="0" applyFont="1" applyFill="1" applyBorder="1" applyAlignment="1" applyProtection="1">
      <alignment horizontal="center"/>
      <protection hidden="1"/>
    </xf>
    <xf numFmtId="4" fontId="10" fillId="3" borderId="0" xfId="0" applyNumberFormat="1" applyFont="1" applyFill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right" indent="1"/>
      <protection hidden="1"/>
    </xf>
    <xf numFmtId="184" fontId="10" fillId="3" borderId="0" xfId="0" applyNumberFormat="1" applyFont="1" applyFill="1" applyAlignment="1" applyProtection="1">
      <alignment horizontal="center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right" indent="1"/>
      <protection hidden="1"/>
    </xf>
    <xf numFmtId="0" fontId="3" fillId="12" borderId="9" xfId="0" applyFont="1" applyFill="1" applyBorder="1" applyAlignment="1" applyProtection="1">
      <alignment horizontal="center" vertical="center" wrapText="1"/>
      <protection hidden="1"/>
    </xf>
    <xf numFmtId="0" fontId="3" fillId="12" borderId="10" xfId="0" applyFont="1" applyFill="1" applyBorder="1" applyAlignment="1" applyProtection="1">
      <alignment horizontal="center" vertical="center" wrapText="1"/>
      <protection hidden="1"/>
    </xf>
    <xf numFmtId="0" fontId="3" fillId="12" borderId="1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/>
      <protection locked="0"/>
    </xf>
    <xf numFmtId="181" fontId="10" fillId="5" borderId="0" xfId="0" applyNumberFormat="1" applyFont="1" applyFill="1" applyAlignment="1" applyProtection="1">
      <alignment horizontal="center"/>
      <protection hidden="1"/>
    </xf>
    <xf numFmtId="0" fontId="3" fillId="14" borderId="9" xfId="0" applyFont="1" applyFill="1" applyBorder="1" applyAlignment="1" applyProtection="1">
      <alignment horizontal="center" vertical="center" wrapText="1"/>
      <protection hidden="1"/>
    </xf>
    <xf numFmtId="0" fontId="3" fillId="14" borderId="10" xfId="0" applyFont="1" applyFill="1" applyBorder="1" applyAlignment="1" applyProtection="1">
      <alignment horizontal="center" vertical="center" wrapText="1"/>
      <protection hidden="1"/>
    </xf>
    <xf numFmtId="0" fontId="3" fillId="14" borderId="11" xfId="0" applyFont="1" applyFill="1" applyBorder="1" applyAlignment="1" applyProtection="1">
      <alignment horizontal="center" vertical="center" wrapText="1"/>
      <protection hidden="1"/>
    </xf>
    <xf numFmtId="184" fontId="10" fillId="3" borderId="5" xfId="0" applyNumberFormat="1" applyFont="1" applyFill="1" applyBorder="1" applyAlignment="1" applyProtection="1">
      <alignment horizontal="center"/>
      <protection hidden="1"/>
    </xf>
    <xf numFmtId="184" fontId="9" fillId="3" borderId="19" xfId="0" applyNumberFormat="1" applyFont="1" applyFill="1" applyBorder="1" applyAlignment="1" applyProtection="1">
      <alignment horizontal="center"/>
      <protection hidden="1"/>
    </xf>
    <xf numFmtId="0" fontId="9" fillId="3" borderId="19" xfId="0" applyFont="1" applyFill="1" applyBorder="1" applyAlignment="1" applyProtection="1">
      <alignment horizontal="right" indent="1"/>
      <protection hidden="1"/>
    </xf>
    <xf numFmtId="179" fontId="11" fillId="5" borderId="17" xfId="0" applyNumberFormat="1" applyFont="1" applyFill="1" applyBorder="1" applyAlignment="1" applyProtection="1">
      <alignment horizontal="center"/>
      <protection hidden="1"/>
    </xf>
    <xf numFmtId="0" fontId="10" fillId="4" borderId="26" xfId="0" applyFont="1" applyFill="1" applyBorder="1" applyAlignment="1" applyProtection="1">
      <alignment horizontal="center" vertical="center" wrapText="1"/>
      <protection locked="0" hidden="1"/>
    </xf>
    <xf numFmtId="0" fontId="10" fillId="4" borderId="27" xfId="0" applyFont="1" applyFill="1" applyBorder="1" applyAlignment="1" applyProtection="1">
      <alignment horizontal="center" vertical="center" wrapText="1"/>
      <protection locked="0"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3" fontId="10" fillId="5" borderId="0" xfId="0" applyNumberFormat="1" applyFont="1" applyFill="1" applyAlignment="1" applyProtection="1">
      <alignment horizontal="center"/>
      <protection hidden="1"/>
    </xf>
    <xf numFmtId="1" fontId="10" fillId="5" borderId="0" xfId="0" applyNumberFormat="1" applyFont="1" applyFill="1" applyAlignment="1" applyProtection="1">
      <alignment horizontal="center"/>
      <protection hidden="1"/>
    </xf>
    <xf numFmtId="182" fontId="10" fillId="5" borderId="0" xfId="0" applyNumberFormat="1" applyFont="1" applyFill="1" applyAlignment="1" applyProtection="1">
      <alignment horizontal="center"/>
      <protection hidden="1"/>
    </xf>
    <xf numFmtId="4" fontId="7" fillId="10" borderId="0" xfId="0" applyNumberFormat="1" applyFont="1" applyFill="1" applyAlignment="1">
      <alignment horizontal="center" wrapText="1"/>
    </xf>
    <xf numFmtId="0" fontId="4" fillId="13" borderId="26" xfId="0" applyFont="1" applyFill="1" applyBorder="1" applyAlignment="1">
      <alignment horizontal="center"/>
    </xf>
    <xf numFmtId="0" fontId="4" fillId="13" borderId="30" xfId="0" applyFont="1" applyFill="1" applyBorder="1" applyAlignment="1">
      <alignment horizontal="center"/>
    </xf>
    <xf numFmtId="0" fontId="4" fillId="13" borderId="27" xfId="0" applyFont="1" applyFill="1" applyBorder="1" applyAlignment="1">
      <alignment horizontal="center"/>
    </xf>
    <xf numFmtId="4" fontId="4" fillId="13" borderId="26" xfId="0" applyNumberFormat="1" applyFont="1" applyFill="1" applyBorder="1" applyAlignment="1">
      <alignment horizontal="center" wrapText="1"/>
    </xf>
    <xf numFmtId="4" fontId="4" fillId="13" borderId="30" xfId="0" applyNumberFormat="1" applyFont="1" applyFill="1" applyBorder="1" applyAlignment="1">
      <alignment horizontal="center" wrapText="1"/>
    </xf>
    <xf numFmtId="4" fontId="4" fillId="13" borderId="27" xfId="0" applyNumberFormat="1" applyFont="1" applyFill="1" applyBorder="1" applyAlignment="1">
      <alignment horizontal="center" wrapText="1"/>
    </xf>
    <xf numFmtId="0" fontId="6" fillId="13" borderId="0" xfId="0" applyFont="1" applyFill="1" applyAlignment="1">
      <alignment horizontal="center"/>
    </xf>
    <xf numFmtId="4" fontId="7" fillId="10" borderId="4" xfId="0" applyNumberFormat="1" applyFont="1" applyFill="1" applyBorder="1" applyAlignment="1">
      <alignment horizontal="center" wrapText="1"/>
    </xf>
    <xf numFmtId="4" fontId="4" fillId="10" borderId="13" xfId="0" applyNumberFormat="1" applyFont="1" applyFill="1" applyBorder="1" applyAlignment="1">
      <alignment horizontal="center"/>
    </xf>
    <xf numFmtId="4" fontId="4" fillId="10" borderId="35" xfId="0" applyNumberFormat="1" applyFont="1" applyFill="1" applyBorder="1" applyAlignment="1">
      <alignment horizontal="center"/>
    </xf>
    <xf numFmtId="4" fontId="4" fillId="10" borderId="14" xfId="0" applyNumberFormat="1" applyFont="1" applyFill="1" applyBorder="1" applyAlignment="1">
      <alignment horizontal="center"/>
    </xf>
    <xf numFmtId="4" fontId="7" fillId="13" borderId="0" xfId="0" applyNumberFormat="1" applyFont="1" applyFill="1" applyAlignment="1">
      <alignment horizontal="center" wrapText="1"/>
    </xf>
    <xf numFmtId="169" fontId="7" fillId="0" borderId="0" xfId="0" applyNumberFormat="1" applyFont="1" applyAlignment="1">
      <alignment horizontal="center"/>
    </xf>
    <xf numFmtId="0" fontId="7" fillId="6" borderId="26" xfId="0" applyFont="1" applyFill="1" applyBorder="1" applyAlignment="1">
      <alignment horizontal="center" wrapText="1"/>
    </xf>
    <xf numFmtId="0" fontId="7" fillId="6" borderId="27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 wrapText="1"/>
    </xf>
    <xf numFmtId="0" fontId="10" fillId="12" borderId="9" xfId="0" applyFont="1" applyFill="1" applyBorder="1" applyProtection="1">
      <protection hidden="1"/>
    </xf>
    <xf numFmtId="0" fontId="10" fillId="12" borderId="10" xfId="0" applyFont="1" applyFill="1" applyBorder="1" applyProtection="1">
      <protection hidden="1"/>
    </xf>
    <xf numFmtId="0" fontId="10" fillId="12" borderId="10" xfId="0" applyFont="1" applyFill="1" applyBorder="1" applyAlignment="1" applyProtection="1">
      <alignment horizontal="center"/>
      <protection hidden="1"/>
    </xf>
    <xf numFmtId="0" fontId="10" fillId="12" borderId="11" xfId="0" applyFont="1" applyFill="1" applyBorder="1" applyProtection="1">
      <protection hidden="1"/>
    </xf>
  </cellXfs>
  <cellStyles count="3">
    <cellStyle name="Normal" xfId="0" builtinId="0"/>
    <cellStyle name="Normal 3" xfId="2" xr:uid="{34EC99FF-182B-4A9A-A6B2-424050CA045A}"/>
    <cellStyle name="Percent" xfId="1" builtinId="5"/>
  </cellStyles>
  <dxfs count="8"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top/>
        <bottom/>
        <vertical/>
        <horizontal/>
      </border>
    </dxf>
    <dxf>
      <font>
        <color theme="4" tint="0.59996337778862885"/>
      </font>
      <fill>
        <patternFill>
          <bgColor theme="4" tint="0.59996337778862885"/>
        </patternFill>
      </fill>
      <border>
        <left/>
        <right/>
        <top style="thin">
          <color auto="1"/>
        </top>
        <bottom/>
        <vertical/>
        <horizontal/>
      </border>
    </dxf>
  </dxfs>
  <tableStyles count="0" defaultTableStyle="TableStyleMedium2" defaultPivotStyle="PivotStyleLight16"/>
  <colors>
    <mruColors>
      <color rgb="FFA50021"/>
      <color rgb="FF004F00"/>
      <color rgb="FF005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89807</xdr:colOff>
      <xdr:row>48</xdr:row>
      <xdr:rowOff>14969</xdr:rowOff>
    </xdr:from>
    <xdr:to>
      <xdr:col>1</xdr:col>
      <xdr:colOff>723900</xdr:colOff>
      <xdr:row>49</xdr:row>
      <xdr:rowOff>159173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07" y="7549244"/>
          <a:ext cx="881743" cy="325178"/>
        </a:xfrm>
        <a:prstGeom prst="rect">
          <a:avLst/>
        </a:prstGeom>
      </xdr:spPr>
    </xdr:pic>
    <xdr:clientData/>
  </xdr:twoCellAnchor>
  <xdr:oneCellAnchor>
    <xdr:from>
      <xdr:col>7</xdr:col>
      <xdr:colOff>9525</xdr:colOff>
      <xdr:row>48</xdr:row>
      <xdr:rowOff>38100</xdr:rowOff>
    </xdr:from>
    <xdr:ext cx="1251145" cy="30080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9029700"/>
          <a:ext cx="1251145" cy="300800"/>
        </a:xfrm>
        <a:prstGeom prst="rect">
          <a:avLst/>
        </a:prstGeom>
      </xdr:spPr>
    </xdr:pic>
    <xdr:clientData/>
  </xdr:oneCellAnchor>
  <xdr:oneCellAnchor>
    <xdr:from>
      <xdr:col>10</xdr:col>
      <xdr:colOff>89807</xdr:colOff>
      <xdr:row>48</xdr:row>
      <xdr:rowOff>14969</xdr:rowOff>
    </xdr:from>
    <xdr:ext cx="881743" cy="325178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932" y="9073244"/>
          <a:ext cx="881743" cy="325178"/>
        </a:xfrm>
        <a:prstGeom prst="rect">
          <a:avLst/>
        </a:prstGeom>
      </xdr:spPr>
    </xdr:pic>
    <xdr:clientData/>
  </xdr:oneCellAnchor>
  <xdr:oneCellAnchor>
    <xdr:from>
      <xdr:col>18</xdr:col>
      <xdr:colOff>342900</xdr:colOff>
      <xdr:row>48</xdr:row>
      <xdr:rowOff>38100</xdr:rowOff>
    </xdr:from>
    <xdr:ext cx="1251145" cy="30080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9067800"/>
          <a:ext cx="1251145" cy="300800"/>
        </a:xfrm>
        <a:prstGeom prst="rect">
          <a:avLst/>
        </a:prstGeom>
      </xdr:spPr>
    </xdr:pic>
    <xdr:clientData/>
  </xdr:oneCellAnchor>
  <xdr:oneCellAnchor>
    <xdr:from>
      <xdr:col>21</xdr:col>
      <xdr:colOff>89807</xdr:colOff>
      <xdr:row>48</xdr:row>
      <xdr:rowOff>14969</xdr:rowOff>
    </xdr:from>
    <xdr:ext cx="881743" cy="325178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3232" y="9054194"/>
          <a:ext cx="881743" cy="325178"/>
        </a:xfrm>
        <a:prstGeom prst="rect">
          <a:avLst/>
        </a:prstGeom>
      </xdr:spPr>
    </xdr:pic>
    <xdr:clientData/>
  </xdr:oneCellAnchor>
  <xdr:oneCellAnchor>
    <xdr:from>
      <xdr:col>27</xdr:col>
      <xdr:colOff>66675</xdr:colOff>
      <xdr:row>48</xdr:row>
      <xdr:rowOff>28575</xdr:rowOff>
    </xdr:from>
    <xdr:ext cx="1251145" cy="300800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4950" y="9067800"/>
          <a:ext cx="1251145" cy="300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FC020-154C-49D2-86D1-4B2D7B1FA96D}">
  <sheetPr codeName="Sheet4"/>
  <dimension ref="A1:AC51"/>
  <sheetViews>
    <sheetView tabSelected="1" zoomScale="90" zoomScaleNormal="90" workbookViewId="0">
      <selection activeCell="R36" sqref="R36"/>
    </sheetView>
  </sheetViews>
  <sheetFormatPr defaultRowHeight="15" x14ac:dyDescent="0.25"/>
  <cols>
    <col min="1" max="1" width="3.7109375" style="154" customWidth="1"/>
    <col min="2" max="2" width="11.7109375" style="154" bestFit="1" customWidth="1"/>
    <col min="3" max="3" width="9.140625" style="154"/>
    <col min="4" max="4" width="26" style="154" bestFit="1" customWidth="1"/>
    <col min="5" max="5" width="4.7109375" style="154" customWidth="1"/>
    <col min="6" max="6" width="5.7109375" style="154" customWidth="1"/>
    <col min="7" max="8" width="7.7109375" style="154" customWidth="1"/>
    <col min="9" max="9" width="9.7109375" style="195" bestFit="1" customWidth="1"/>
    <col min="10" max="11" width="3.7109375" style="154" customWidth="1"/>
    <col min="12" max="12" width="11.7109375" style="154" bestFit="1" customWidth="1"/>
    <col min="13" max="13" width="8" style="154" customWidth="1"/>
    <col min="14" max="14" width="4.140625" style="154" customWidth="1"/>
    <col min="15" max="15" width="8.85546875" style="154" customWidth="1"/>
    <col min="16" max="16" width="9.140625" style="154"/>
    <col min="17" max="17" width="8.28515625" style="154" bestFit="1" customWidth="1"/>
    <col min="18" max="18" width="9.7109375" style="154" bestFit="1" customWidth="1"/>
    <col min="19" max="19" width="12.7109375" style="154" bestFit="1" customWidth="1"/>
    <col min="20" max="20" width="10.140625" style="154" bestFit="1" customWidth="1"/>
    <col min="21" max="21" width="3.7109375" style="154" customWidth="1"/>
    <col min="22" max="29" width="11.28515625" style="154" customWidth="1"/>
    <col min="30" max="16384" width="9.140625" style="154"/>
  </cols>
  <sheetData>
    <row r="1" spans="1:29" ht="19.5" thickBot="1" x14ac:dyDescent="0.3">
      <c r="A1" s="226" t="s">
        <v>194</v>
      </c>
      <c r="B1" s="227"/>
      <c r="C1" s="227"/>
      <c r="D1" s="227"/>
      <c r="E1" s="227"/>
      <c r="F1" s="227"/>
      <c r="G1" s="227"/>
      <c r="H1" s="227"/>
      <c r="I1" s="227"/>
      <c r="J1" s="228"/>
      <c r="K1" s="226" t="s">
        <v>195</v>
      </c>
      <c r="L1" s="227"/>
      <c r="M1" s="227"/>
      <c r="N1" s="227"/>
      <c r="O1" s="227"/>
      <c r="P1" s="227"/>
      <c r="Q1" s="227"/>
      <c r="R1" s="227"/>
      <c r="S1" s="227"/>
      <c r="T1" s="227"/>
      <c r="U1" s="228"/>
      <c r="V1" s="231" t="s">
        <v>196</v>
      </c>
      <c r="W1" s="232"/>
      <c r="X1" s="232"/>
      <c r="Y1" s="232"/>
      <c r="Z1" s="232"/>
      <c r="AA1" s="232"/>
      <c r="AB1" s="232"/>
      <c r="AC1" s="233"/>
    </row>
    <row r="2" spans="1:29" s="161" customFormat="1" ht="14.25" x14ac:dyDescent="0.25">
      <c r="A2" s="155"/>
      <c r="B2" s="156"/>
      <c r="C2" s="156"/>
      <c r="D2" s="156"/>
      <c r="E2" s="156"/>
      <c r="F2" s="156"/>
      <c r="G2" s="156"/>
      <c r="H2" s="156"/>
      <c r="I2" s="156"/>
      <c r="J2" s="157"/>
      <c r="K2" s="155"/>
      <c r="L2" s="156"/>
      <c r="M2" s="156"/>
      <c r="N2" s="156"/>
      <c r="O2" s="156"/>
      <c r="P2" s="156"/>
      <c r="Q2" s="156"/>
      <c r="R2" s="156"/>
      <c r="S2" s="156"/>
      <c r="T2" s="156"/>
      <c r="U2" s="157"/>
      <c r="V2" s="158"/>
      <c r="W2" s="159"/>
      <c r="X2" s="159"/>
      <c r="Y2" s="159"/>
      <c r="Z2" s="159"/>
      <c r="AA2" s="159"/>
      <c r="AB2" s="159"/>
      <c r="AC2" s="160"/>
    </row>
    <row r="3" spans="1:29" s="161" customFormat="1" ht="14.25" x14ac:dyDescent="0.25">
      <c r="A3" s="162"/>
      <c r="B3" s="163" t="s">
        <v>78</v>
      </c>
      <c r="C3" s="229" t="s">
        <v>78</v>
      </c>
      <c r="D3" s="229"/>
      <c r="E3" s="229"/>
      <c r="F3" s="229"/>
      <c r="G3" s="164"/>
      <c r="H3" s="165" t="s">
        <v>81</v>
      </c>
      <c r="I3" s="166">
        <f ca="1">TODAY()</f>
        <v>45064</v>
      </c>
      <c r="J3" s="167"/>
      <c r="K3" s="162"/>
      <c r="L3" s="163" t="s">
        <v>78</v>
      </c>
      <c r="M3" s="164" t="str">
        <f>IF(C3="","",C3)</f>
        <v>Project Name</v>
      </c>
      <c r="N3" s="164"/>
      <c r="O3" s="164"/>
      <c r="P3" s="164"/>
      <c r="Q3" s="164"/>
      <c r="R3" s="164"/>
      <c r="S3" s="165" t="s">
        <v>81</v>
      </c>
      <c r="T3" s="166">
        <f ca="1">IF(I3="","",I3)</f>
        <v>45064</v>
      </c>
      <c r="U3" s="167"/>
      <c r="V3" s="168"/>
      <c r="W3" s="163" t="s">
        <v>78</v>
      </c>
      <c r="X3" s="169" t="str">
        <f>IF(C3="","",C3)</f>
        <v>Project Name</v>
      </c>
      <c r="Y3" s="169"/>
      <c r="Z3" s="169"/>
      <c r="AA3" s="165" t="s">
        <v>81</v>
      </c>
      <c r="AB3" s="166">
        <f ca="1">IF(I3="","",I3)</f>
        <v>45064</v>
      </c>
      <c r="AC3" s="170"/>
    </row>
    <row r="4" spans="1:29" s="161" customFormat="1" ht="14.25" x14ac:dyDescent="0.25">
      <c r="A4" s="162"/>
      <c r="B4" s="163" t="s">
        <v>96</v>
      </c>
      <c r="C4" s="229" t="s">
        <v>188</v>
      </c>
      <c r="D4" s="229"/>
      <c r="E4" s="171" t="s">
        <v>79</v>
      </c>
      <c r="F4" s="197" t="s">
        <v>79</v>
      </c>
      <c r="G4" s="164"/>
      <c r="H4" s="165" t="s">
        <v>80</v>
      </c>
      <c r="I4" s="197" t="s">
        <v>189</v>
      </c>
      <c r="J4" s="167"/>
      <c r="K4" s="162"/>
      <c r="L4" s="163" t="s">
        <v>73</v>
      </c>
      <c r="M4" s="164" t="str">
        <f>IF(C4="","",CONCATENATE(C4,", ",F4))</f>
        <v>City, State</v>
      </c>
      <c r="N4" s="164"/>
      <c r="O4" s="164"/>
      <c r="P4" s="164"/>
      <c r="Q4" s="164"/>
      <c r="R4" s="164"/>
      <c r="S4" s="165" t="s">
        <v>80</v>
      </c>
      <c r="T4" s="172" t="str">
        <f>IF(I4="","",I4)</f>
        <v>TBD</v>
      </c>
      <c r="U4" s="167"/>
      <c r="V4" s="168"/>
      <c r="W4" s="163" t="s">
        <v>73</v>
      </c>
      <c r="X4" s="169" t="str">
        <f>IF(C4="","",CONCATENATE(C4,", ",F4))</f>
        <v>City, State</v>
      </c>
      <c r="Y4" s="173"/>
      <c r="Z4" s="173"/>
      <c r="AA4" s="165" t="s">
        <v>80</v>
      </c>
      <c r="AB4" s="172" t="str">
        <f>IF(I4="","",I4)</f>
        <v>TBD</v>
      </c>
      <c r="AC4" s="170"/>
    </row>
    <row r="5" spans="1:29" s="161" customFormat="1" thickBot="1" x14ac:dyDescent="0.3">
      <c r="A5" s="174"/>
      <c r="B5" s="175"/>
      <c r="C5" s="175"/>
      <c r="D5" s="175"/>
      <c r="E5" s="175"/>
      <c r="F5" s="175"/>
      <c r="G5" s="175"/>
      <c r="H5" s="175"/>
      <c r="I5" s="175"/>
      <c r="J5" s="176"/>
      <c r="K5" s="174"/>
      <c r="L5" s="175"/>
      <c r="M5" s="175"/>
      <c r="N5" s="175"/>
      <c r="O5" s="175"/>
      <c r="P5" s="175"/>
      <c r="Q5" s="175"/>
      <c r="R5" s="175"/>
      <c r="S5" s="175"/>
      <c r="T5" s="175"/>
      <c r="U5" s="176"/>
      <c r="V5" s="177"/>
      <c r="W5" s="178"/>
      <c r="X5" s="178"/>
      <c r="Y5" s="178"/>
      <c r="Z5" s="178"/>
      <c r="AA5" s="178"/>
      <c r="AB5" s="178"/>
      <c r="AC5" s="179"/>
    </row>
    <row r="6" spans="1:29" s="161" customFormat="1" thickBot="1" x14ac:dyDescent="0.3">
      <c r="A6" s="222" t="s">
        <v>149</v>
      </c>
      <c r="B6" s="223"/>
      <c r="C6" s="223"/>
      <c r="D6" s="223"/>
      <c r="E6" s="223"/>
      <c r="F6" s="223"/>
      <c r="G6" s="223"/>
      <c r="H6" s="223"/>
      <c r="I6" s="223"/>
      <c r="J6" s="224"/>
      <c r="K6" s="222" t="s">
        <v>170</v>
      </c>
      <c r="L6" s="223"/>
      <c r="M6" s="223"/>
      <c r="N6" s="223"/>
      <c r="O6" s="223"/>
      <c r="P6" s="223"/>
      <c r="Q6" s="223"/>
      <c r="R6" s="223"/>
      <c r="S6" s="223"/>
      <c r="T6" s="223"/>
      <c r="U6" s="224"/>
      <c r="V6" s="222" t="s">
        <v>84</v>
      </c>
      <c r="W6" s="223"/>
      <c r="X6" s="223"/>
      <c r="Y6" s="223"/>
      <c r="Z6" s="223"/>
      <c r="AA6" s="223"/>
      <c r="AB6" s="223"/>
      <c r="AC6" s="224"/>
    </row>
    <row r="7" spans="1:29" s="161" customFormat="1" ht="14.25" x14ac:dyDescent="0.25">
      <c r="A7" s="47"/>
      <c r="B7" s="48"/>
      <c r="C7" s="48"/>
      <c r="D7" s="48"/>
      <c r="E7" s="48"/>
      <c r="F7" s="48"/>
      <c r="G7" s="48"/>
      <c r="H7" s="48"/>
      <c r="I7" s="49"/>
      <c r="J7" s="50"/>
      <c r="K7" s="47"/>
      <c r="L7" s="48"/>
      <c r="M7" s="48"/>
      <c r="N7" s="48"/>
      <c r="O7" s="48"/>
      <c r="P7" s="48"/>
      <c r="Q7" s="48"/>
      <c r="R7" s="48"/>
      <c r="S7" s="48"/>
      <c r="T7" s="49"/>
      <c r="U7" s="50"/>
      <c r="V7" s="110"/>
      <c r="W7" s="111"/>
      <c r="X7" s="111"/>
      <c r="Y7" s="111"/>
      <c r="Z7" s="111"/>
      <c r="AA7" s="111"/>
      <c r="AB7" s="111"/>
      <c r="AC7" s="112"/>
    </row>
    <row r="8" spans="1:29" s="161" customFormat="1" ht="14.25" x14ac:dyDescent="0.25">
      <c r="A8" s="51"/>
      <c r="B8" s="217" t="s">
        <v>192</v>
      </c>
      <c r="C8" s="217"/>
      <c r="D8" s="217"/>
      <c r="E8" s="145"/>
      <c r="F8" s="217" t="s">
        <v>157</v>
      </c>
      <c r="G8" s="217"/>
      <c r="H8" s="217"/>
      <c r="I8" s="217"/>
      <c r="J8" s="52"/>
      <c r="K8" s="51"/>
      <c r="L8" s="217" t="s">
        <v>4</v>
      </c>
      <c r="M8" s="217"/>
      <c r="N8" s="217"/>
      <c r="O8" s="217"/>
      <c r="P8" s="217"/>
      <c r="Q8" s="217"/>
      <c r="R8" s="217"/>
      <c r="S8" s="217"/>
      <c r="T8" s="217"/>
      <c r="U8" s="52"/>
      <c r="V8" s="51"/>
      <c r="W8" s="145"/>
      <c r="X8" s="145"/>
      <c r="Y8" s="140" t="s">
        <v>150</v>
      </c>
      <c r="Z8" s="221">
        <f>Computations!J3</f>
        <v>544.59997666666663</v>
      </c>
      <c r="AA8" s="221"/>
      <c r="AB8" s="145"/>
      <c r="AC8" s="113"/>
    </row>
    <row r="9" spans="1:29" s="161" customFormat="1" ht="14.25" x14ac:dyDescent="0.25">
      <c r="A9" s="51"/>
      <c r="B9" s="146"/>
      <c r="C9" s="140" t="s">
        <v>193</v>
      </c>
      <c r="D9" s="204" t="s">
        <v>3</v>
      </c>
      <c r="E9" s="145"/>
      <c r="F9" s="145"/>
      <c r="G9" s="145"/>
      <c r="H9" s="140" t="s">
        <v>97</v>
      </c>
      <c r="I9" s="205" t="s">
        <v>87</v>
      </c>
      <c r="J9" s="52"/>
      <c r="K9" s="51"/>
      <c r="L9" s="71"/>
      <c r="M9" s="72"/>
      <c r="N9" s="218" t="s">
        <v>161</v>
      </c>
      <c r="O9" s="218"/>
      <c r="P9" s="129" t="s">
        <v>162</v>
      </c>
      <c r="Q9" s="129" t="s">
        <v>163</v>
      </c>
      <c r="R9" s="129" t="s">
        <v>164</v>
      </c>
      <c r="S9" s="129" t="s">
        <v>165</v>
      </c>
      <c r="T9" s="129" t="s">
        <v>166</v>
      </c>
      <c r="U9" s="52"/>
      <c r="V9" s="51"/>
      <c r="W9" s="53"/>
      <c r="X9" s="53"/>
      <c r="Y9" s="54" t="s">
        <v>91</v>
      </c>
      <c r="Z9" s="234">
        <f>Computations!H6</f>
        <v>309.36141333333336</v>
      </c>
      <c r="AA9" s="234"/>
      <c r="AB9" s="145"/>
      <c r="AC9" s="113"/>
    </row>
    <row r="10" spans="1:29" s="161" customFormat="1" ht="14.25" x14ac:dyDescent="0.25">
      <c r="A10" s="51"/>
      <c r="B10" s="146"/>
      <c r="C10" s="146" t="s">
        <v>95</v>
      </c>
      <c r="D10" s="196">
        <v>3</v>
      </c>
      <c r="E10" s="145"/>
      <c r="F10" s="139"/>
      <c r="G10" s="139"/>
      <c r="H10" s="140" t="s">
        <v>6</v>
      </c>
      <c r="I10" s="201">
        <v>3</v>
      </c>
      <c r="J10" s="52"/>
      <c r="K10" s="51"/>
      <c r="L10" s="236" t="s">
        <v>191</v>
      </c>
      <c r="M10" s="236"/>
      <c r="N10" s="219">
        <f>Computations!C23</f>
        <v>99.75</v>
      </c>
      <c r="O10" s="219"/>
      <c r="P10" s="152">
        <f>Computations!C24</f>
        <v>100</v>
      </c>
      <c r="Q10" s="152">
        <f>Computations!C25</f>
        <v>101.44333333333333</v>
      </c>
      <c r="R10" s="152">
        <f>Computations!C26</f>
        <v>102.44333333333333</v>
      </c>
      <c r="S10" s="153">
        <f>Computations!C27</f>
        <v>103.11333333333333</v>
      </c>
      <c r="T10" s="138">
        <f>Computations!C28</f>
        <v>108.43333333333332</v>
      </c>
      <c r="U10" s="52"/>
      <c r="V10" s="51"/>
      <c r="W10" s="145"/>
      <c r="X10" s="145"/>
      <c r="Y10" s="149" t="s">
        <v>186</v>
      </c>
      <c r="Z10" s="235">
        <f>Z8+Z9</f>
        <v>853.96138999999994</v>
      </c>
      <c r="AA10" s="235"/>
      <c r="AB10" s="145"/>
      <c r="AC10" s="113"/>
    </row>
    <row r="11" spans="1:29" s="161" customFormat="1" thickBot="1" x14ac:dyDescent="0.3">
      <c r="A11" s="51"/>
      <c r="B11" s="217"/>
      <c r="C11" s="217"/>
      <c r="D11" s="217"/>
      <c r="E11" s="145"/>
      <c r="F11" s="139"/>
      <c r="G11" s="139"/>
      <c r="H11" s="140" t="s">
        <v>82</v>
      </c>
      <c r="I11" s="205" t="s">
        <v>87</v>
      </c>
      <c r="J11" s="52"/>
      <c r="K11" s="51"/>
      <c r="L11" s="220"/>
      <c r="M11" s="220"/>
      <c r="N11" s="219"/>
      <c r="O11" s="219"/>
      <c r="P11" s="152"/>
      <c r="Q11" s="152"/>
      <c r="R11" s="152"/>
      <c r="S11" s="153"/>
      <c r="T11" s="138"/>
      <c r="U11" s="52"/>
      <c r="V11" s="55"/>
      <c r="W11" s="114"/>
      <c r="X11" s="114"/>
      <c r="Y11" s="114"/>
      <c r="Z11" s="114"/>
      <c r="AA11" s="114"/>
      <c r="AB11" s="114"/>
      <c r="AC11" s="56"/>
    </row>
    <row r="12" spans="1:29" s="161" customFormat="1" ht="14.25" x14ac:dyDescent="0.25">
      <c r="A12" s="51"/>
      <c r="B12" s="217" t="s">
        <v>110</v>
      </c>
      <c r="C12" s="217"/>
      <c r="D12" s="217"/>
      <c r="E12" s="145"/>
      <c r="F12" s="145"/>
      <c r="G12" s="145"/>
      <c r="H12" s="145"/>
      <c r="I12" s="145"/>
      <c r="J12" s="52"/>
      <c r="K12" s="51"/>
      <c r="L12" s="220"/>
      <c r="M12" s="220"/>
      <c r="N12" s="219"/>
      <c r="O12" s="219"/>
      <c r="P12" s="152"/>
      <c r="Q12" s="152"/>
      <c r="R12" s="152"/>
      <c r="S12" s="153"/>
      <c r="T12" s="138"/>
      <c r="U12" s="52"/>
      <c r="V12" s="212" t="s">
        <v>152</v>
      </c>
      <c r="W12" s="213"/>
      <c r="X12" s="213"/>
      <c r="Y12" s="213"/>
      <c r="Z12" s="213"/>
      <c r="AA12" s="213"/>
      <c r="AB12" s="213"/>
      <c r="AC12" s="214"/>
    </row>
    <row r="13" spans="1:29" s="161" customFormat="1" thickBot="1" x14ac:dyDescent="0.3">
      <c r="A13" s="51"/>
      <c r="B13" s="140"/>
      <c r="C13" s="140" t="s">
        <v>92</v>
      </c>
      <c r="D13" s="206" t="s">
        <v>90</v>
      </c>
      <c r="E13" s="145"/>
      <c r="F13" s="217" t="s">
        <v>158</v>
      </c>
      <c r="G13" s="217"/>
      <c r="H13" s="217"/>
      <c r="I13" s="217"/>
      <c r="J13" s="52"/>
      <c r="K13" s="51"/>
      <c r="L13" s="225"/>
      <c r="M13" s="225"/>
      <c r="N13" s="237"/>
      <c r="O13" s="237"/>
      <c r="P13" s="145"/>
      <c r="Q13" s="145"/>
      <c r="R13" s="145"/>
      <c r="S13" s="140"/>
      <c r="T13" s="138"/>
      <c r="U13" s="52"/>
      <c r="V13" s="180"/>
      <c r="W13" s="181"/>
      <c r="X13" s="181"/>
      <c r="Y13" s="150" t="s">
        <v>50</v>
      </c>
      <c r="Z13" s="209">
        <v>0.25</v>
      </c>
      <c r="AA13" s="181"/>
      <c r="AB13" s="181"/>
      <c r="AC13" s="182"/>
    </row>
    <row r="14" spans="1:29" s="161" customFormat="1" thickBot="1" x14ac:dyDescent="0.3">
      <c r="A14" s="51"/>
      <c r="B14" s="146"/>
      <c r="C14" s="140" t="s">
        <v>94</v>
      </c>
      <c r="D14" s="206" t="s">
        <v>133</v>
      </c>
      <c r="E14" s="145"/>
      <c r="F14" s="145"/>
      <c r="G14" s="139"/>
      <c r="H14" s="140" t="s">
        <v>151</v>
      </c>
      <c r="I14" s="204">
        <v>100</v>
      </c>
      <c r="J14" s="52"/>
      <c r="K14" s="222" t="s">
        <v>84</v>
      </c>
      <c r="L14" s="223"/>
      <c r="M14" s="223"/>
      <c r="N14" s="223"/>
      <c r="O14" s="223"/>
      <c r="P14" s="223"/>
      <c r="Q14" s="223"/>
      <c r="R14" s="223"/>
      <c r="S14" s="223"/>
      <c r="T14" s="223"/>
      <c r="U14" s="224"/>
      <c r="V14" s="183"/>
      <c r="W14" s="184"/>
      <c r="X14" s="184"/>
      <c r="Y14" s="70"/>
      <c r="Z14" s="185"/>
      <c r="AA14" s="184"/>
      <c r="AB14" s="184"/>
      <c r="AC14" s="186"/>
    </row>
    <row r="15" spans="1:29" s="161" customFormat="1" thickBot="1" x14ac:dyDescent="0.3">
      <c r="A15" s="51"/>
      <c r="B15" s="146"/>
      <c r="C15" s="140"/>
      <c r="D15" s="146"/>
      <c r="E15" s="145"/>
      <c r="F15" s="145"/>
      <c r="G15" s="145"/>
      <c r="H15" s="140" t="s">
        <v>48</v>
      </c>
      <c r="I15" s="201">
        <v>12</v>
      </c>
      <c r="J15" s="52"/>
      <c r="K15" s="47"/>
      <c r="L15" s="111"/>
      <c r="M15" s="111"/>
      <c r="N15" s="111"/>
      <c r="O15" s="111"/>
      <c r="P15" s="111"/>
      <c r="Q15" s="111"/>
      <c r="R15" s="111"/>
      <c r="S15" s="111"/>
      <c r="T15" s="120"/>
      <c r="U15" s="50"/>
      <c r="V15" s="151" t="s">
        <v>51</v>
      </c>
      <c r="W15" s="68" t="s">
        <v>52</v>
      </c>
      <c r="X15" s="68" t="str">
        <f>IF(X16="","","Elevation")</f>
        <v/>
      </c>
      <c r="Y15" s="68" t="str">
        <f>IF(Y16="","","Volume")</f>
        <v/>
      </c>
      <c r="Z15" s="68" t="str">
        <f>IF(Z16="","","Elevation")</f>
        <v/>
      </c>
      <c r="AA15" s="68" t="str">
        <f>IF(AA16="","","Volume")</f>
        <v/>
      </c>
      <c r="AB15" s="68" t="str">
        <f t="shared" ref="AB15" si="0">IF(AB16="","","Elevation")</f>
        <v/>
      </c>
      <c r="AC15" s="69" t="str">
        <f>IF(AC16="","","Volume")</f>
        <v/>
      </c>
    </row>
    <row r="16" spans="1:29" s="161" customFormat="1" ht="14.25" x14ac:dyDescent="0.25">
      <c r="A16" s="51"/>
      <c r="B16" s="217" t="s">
        <v>190</v>
      </c>
      <c r="C16" s="217"/>
      <c r="D16" s="217"/>
      <c r="E16" s="145"/>
      <c r="F16" s="145"/>
      <c r="G16" s="145"/>
      <c r="H16" s="145"/>
      <c r="I16" s="145"/>
      <c r="J16" s="52"/>
      <c r="K16" s="51"/>
      <c r="L16" s="137"/>
      <c r="M16" s="137"/>
      <c r="N16" s="137"/>
      <c r="O16" s="137"/>
      <c r="P16" s="144" t="s">
        <v>180</v>
      </c>
      <c r="Q16" s="215" t="s">
        <v>181</v>
      </c>
      <c r="R16" s="216"/>
      <c r="S16" s="137"/>
      <c r="T16" s="138"/>
      <c r="U16" s="52"/>
      <c r="V16" s="127">
        <f>'Stage Storage Computations'!O4</f>
        <v>99.75</v>
      </c>
      <c r="W16" s="118">
        <f>IF(V16="","",'Stage Storage Computations'!P4)</f>
        <v>0</v>
      </c>
      <c r="X16" s="118" t="str">
        <f>'Stage Storage Computations'!O32</f>
        <v/>
      </c>
      <c r="Y16" s="118" t="str">
        <f>IF(X16="","",'Stage Storage Computations'!P32)</f>
        <v/>
      </c>
      <c r="Z16" s="60" t="str">
        <f>'Stage Storage Computations'!O60</f>
        <v/>
      </c>
      <c r="AA16" s="60" t="str">
        <f>IF(Z16="","",'Stage Storage Computations'!P60)</f>
        <v/>
      </c>
      <c r="AB16" s="60" t="str">
        <f>'Stage Storage Computations'!O88</f>
        <v/>
      </c>
      <c r="AC16" s="61" t="str">
        <f>IF(AB16="","",'Stage Storage Computations'!P88)</f>
        <v/>
      </c>
    </row>
    <row r="17" spans="1:29" s="161" customFormat="1" ht="14.25" x14ac:dyDescent="0.25">
      <c r="A17" s="51"/>
      <c r="B17" s="147"/>
      <c r="C17" s="140" t="s">
        <v>153</v>
      </c>
      <c r="D17" s="207">
        <v>397.18</v>
      </c>
      <c r="E17" s="145"/>
      <c r="F17" s="217" t="s">
        <v>7</v>
      </c>
      <c r="G17" s="217"/>
      <c r="H17" s="217"/>
      <c r="I17" s="217"/>
      <c r="J17" s="52"/>
      <c r="K17" s="51"/>
      <c r="L17" s="145"/>
      <c r="M17" s="145"/>
      <c r="N17" s="145"/>
      <c r="O17" s="145"/>
      <c r="P17" s="149" t="s">
        <v>185</v>
      </c>
      <c r="Q17" s="215">
        <v>5000</v>
      </c>
      <c r="R17" s="216"/>
      <c r="S17" s="147"/>
      <c r="T17" s="138"/>
      <c r="U17" s="52"/>
      <c r="V17" s="62">
        <f>'Stage Storage Computations'!O5</f>
        <v>100</v>
      </c>
      <c r="W17" s="119">
        <f>IF(V17="","",'Stage Storage Computations'!P5)</f>
        <v>50</v>
      </c>
      <c r="X17" s="119" t="str">
        <f>'Stage Storage Computations'!O33</f>
        <v/>
      </c>
      <c r="Y17" s="119" t="str">
        <f>IF(X17="","",'Stage Storage Computations'!P33)</f>
        <v/>
      </c>
      <c r="Z17" s="63" t="str">
        <f>'Stage Storage Computations'!O61</f>
        <v/>
      </c>
      <c r="AA17" s="63" t="str">
        <f>IF(Z17="","",'Stage Storage Computations'!P61)</f>
        <v/>
      </c>
      <c r="AB17" s="63" t="str">
        <f>'Stage Storage Computations'!O89</f>
        <v/>
      </c>
      <c r="AC17" s="64" t="str">
        <f>IF(AB17="","",'Stage Storage Computations'!P89)</f>
        <v/>
      </c>
    </row>
    <row r="18" spans="1:29" s="161" customFormat="1" ht="14.25" x14ac:dyDescent="0.25">
      <c r="A18" s="51"/>
      <c r="B18" s="145"/>
      <c r="C18" s="140" t="s">
        <v>172</v>
      </c>
      <c r="D18" s="138">
        <f>Computations!G3</f>
        <v>129</v>
      </c>
      <c r="E18" s="145"/>
      <c r="F18" s="148"/>
      <c r="G18" s="148"/>
      <c r="H18" s="140" t="s">
        <v>8</v>
      </c>
      <c r="I18" s="200" t="s">
        <v>49</v>
      </c>
      <c r="J18" s="52"/>
      <c r="K18" s="51"/>
      <c r="L18" s="145"/>
      <c r="M18" s="145"/>
      <c r="N18" s="145"/>
      <c r="O18" s="145"/>
      <c r="P18" s="149"/>
      <c r="Q18" s="137"/>
      <c r="R18" s="137"/>
      <c r="S18" s="137"/>
      <c r="T18" s="138"/>
      <c r="U18" s="52"/>
      <c r="V18" s="62">
        <f>'Stage Storage Computations'!O6</f>
        <v>100.25</v>
      </c>
      <c r="W18" s="119">
        <f>IF(V18="","",'Stage Storage Computations'!P6)</f>
        <v>154.61224999999999</v>
      </c>
      <c r="X18" s="119" t="str">
        <f>'Stage Storage Computations'!O34</f>
        <v/>
      </c>
      <c r="Y18" s="119" t="str">
        <f>IF(X18="","",'Stage Storage Computations'!P34)</f>
        <v/>
      </c>
      <c r="Z18" s="63" t="str">
        <f>'Stage Storage Computations'!O62</f>
        <v/>
      </c>
      <c r="AA18" s="63" t="str">
        <f>IF(Z18="","",'Stage Storage Computations'!P62)</f>
        <v/>
      </c>
      <c r="AB18" s="63" t="str">
        <f>'Stage Storage Computations'!O90</f>
        <v/>
      </c>
      <c r="AC18" s="64" t="str">
        <f>IF(AB18="","",'Stage Storage Computations'!P90)</f>
        <v/>
      </c>
    </row>
    <row r="19" spans="1:29" s="161" customFormat="1" ht="14.25" x14ac:dyDescent="0.25">
      <c r="A19" s="51"/>
      <c r="B19" s="146"/>
      <c r="C19" s="140" t="s">
        <v>154</v>
      </c>
      <c r="D19" s="208">
        <v>100</v>
      </c>
      <c r="E19" s="145"/>
      <c r="F19" s="145"/>
      <c r="G19" s="145"/>
      <c r="H19" s="140" t="s">
        <v>9</v>
      </c>
      <c r="I19" s="201" t="s">
        <v>49</v>
      </c>
      <c r="J19" s="52"/>
      <c r="K19" s="51"/>
      <c r="L19" s="137"/>
      <c r="M19" s="217" t="s">
        <v>182</v>
      </c>
      <c r="N19" s="217"/>
      <c r="O19" s="217"/>
      <c r="P19" s="217"/>
      <c r="Q19" s="217"/>
      <c r="R19" s="217"/>
      <c r="S19" s="137"/>
      <c r="T19" s="138"/>
      <c r="U19" s="52"/>
      <c r="V19" s="62">
        <f>'Stage Storage Computations'!O7</f>
        <v>100.5</v>
      </c>
      <c r="W19" s="119">
        <f>IF(V19="","",'Stage Storage Computations'!P7)</f>
        <v>259.22449999999998</v>
      </c>
      <c r="X19" s="119" t="str">
        <f>'Stage Storage Computations'!O35</f>
        <v/>
      </c>
      <c r="Y19" s="119" t="str">
        <f>IF(X19="","",'Stage Storage Computations'!P35)</f>
        <v/>
      </c>
      <c r="Z19" s="63" t="str">
        <f>'Stage Storage Computations'!O63</f>
        <v/>
      </c>
      <c r="AA19" s="63" t="str">
        <f>IF(Z19="","",'Stage Storage Computations'!P63)</f>
        <v/>
      </c>
      <c r="AB19" s="63" t="str">
        <f>'Stage Storage Computations'!O91</f>
        <v/>
      </c>
      <c r="AC19" s="64" t="str">
        <f>IF(AB19="","",'Stage Storage Computations'!P91)</f>
        <v/>
      </c>
    </row>
    <row r="20" spans="1:29" s="161" customFormat="1" ht="14.25" x14ac:dyDescent="0.25">
      <c r="A20" s="51"/>
      <c r="B20" s="146"/>
      <c r="C20" s="140"/>
      <c r="D20" s="146"/>
      <c r="E20" s="145"/>
      <c r="F20" s="145"/>
      <c r="G20" s="145"/>
      <c r="H20" s="140" t="s">
        <v>10</v>
      </c>
      <c r="I20" s="201" t="s">
        <v>49</v>
      </c>
      <c r="J20" s="52"/>
      <c r="K20" s="51"/>
      <c r="L20" s="145"/>
      <c r="M20" s="145"/>
      <c r="N20" s="145"/>
      <c r="O20" s="145"/>
      <c r="P20" s="140" t="s">
        <v>150</v>
      </c>
      <c r="Q20" s="221">
        <f>Computations!J3</f>
        <v>544.59997666666663</v>
      </c>
      <c r="R20" s="221"/>
      <c r="S20" s="147"/>
      <c r="T20" s="138"/>
      <c r="U20" s="52"/>
      <c r="V20" s="62">
        <f>'Stage Storage Computations'!O8</f>
        <v>100.75</v>
      </c>
      <c r="W20" s="119">
        <f>IF(V20="","",'Stage Storage Computations'!P8)</f>
        <v>363.83674999999994</v>
      </c>
      <c r="X20" s="119" t="str">
        <f>'Stage Storage Computations'!O36</f>
        <v/>
      </c>
      <c r="Y20" s="119" t="str">
        <f>IF(X20="","",'Stage Storage Computations'!P36)</f>
        <v/>
      </c>
      <c r="Z20" s="63" t="str">
        <f>'Stage Storage Computations'!O64</f>
        <v/>
      </c>
      <c r="AA20" s="63" t="str">
        <f>IF(Z20="","",'Stage Storage Computations'!P64)</f>
        <v/>
      </c>
      <c r="AB20" s="63" t="str">
        <f>'Stage Storage Computations'!O92</f>
        <v/>
      </c>
      <c r="AC20" s="64" t="str">
        <f>IF(AB20="","",'Stage Storage Computations'!P92)</f>
        <v/>
      </c>
    </row>
    <row r="21" spans="1:29" s="161" customFormat="1" ht="14.25" x14ac:dyDescent="0.25">
      <c r="A21" s="51"/>
      <c r="B21" s="217" t="s">
        <v>111</v>
      </c>
      <c r="C21" s="217"/>
      <c r="D21" s="217"/>
      <c r="E21" s="145"/>
      <c r="F21" s="139"/>
      <c r="G21" s="145"/>
      <c r="H21" s="140" t="s">
        <v>11</v>
      </c>
      <c r="I21" s="203">
        <v>0.4</v>
      </c>
      <c r="J21" s="52"/>
      <c r="K21" s="51"/>
      <c r="L21" s="145"/>
      <c r="M21" s="53"/>
      <c r="N21" s="53"/>
      <c r="O21" s="53"/>
      <c r="P21" s="54" t="s">
        <v>91</v>
      </c>
      <c r="Q21" s="234">
        <f>Computations!H6</f>
        <v>309.36141333333336</v>
      </c>
      <c r="R21" s="234"/>
      <c r="S21" s="147"/>
      <c r="T21" s="138"/>
      <c r="U21" s="52"/>
      <c r="V21" s="62">
        <f>'Stage Storage Computations'!O9</f>
        <v>101</v>
      </c>
      <c r="W21" s="119">
        <f>IF(V21="","",'Stage Storage Computations'!P9)</f>
        <v>468.44899999999996</v>
      </c>
      <c r="X21" s="119" t="str">
        <f>'Stage Storage Computations'!O37</f>
        <v/>
      </c>
      <c r="Y21" s="119" t="str">
        <f>IF(X21="","",'Stage Storage Computations'!P37)</f>
        <v/>
      </c>
      <c r="Z21" s="63" t="str">
        <f>'Stage Storage Computations'!O65</f>
        <v/>
      </c>
      <c r="AA21" s="63" t="str">
        <f>IF(Z21="","",'Stage Storage Computations'!P65)</f>
        <v/>
      </c>
      <c r="AB21" s="63" t="str">
        <f>'Stage Storage Computations'!O93</f>
        <v/>
      </c>
      <c r="AC21" s="64" t="str">
        <f>IF(AB21="","",'Stage Storage Computations'!P93)</f>
        <v/>
      </c>
    </row>
    <row r="22" spans="1:29" s="161" customFormat="1" ht="14.25" x14ac:dyDescent="0.25">
      <c r="A22" s="51"/>
      <c r="B22" s="147"/>
      <c r="C22" s="140" t="s">
        <v>2</v>
      </c>
      <c r="D22" s="207">
        <v>500</v>
      </c>
      <c r="E22" s="145"/>
      <c r="F22" s="145"/>
      <c r="G22" s="145"/>
      <c r="H22" s="145"/>
      <c r="I22" s="145"/>
      <c r="J22" s="52"/>
      <c r="K22" s="51"/>
      <c r="L22" s="145"/>
      <c r="M22" s="145"/>
      <c r="N22" s="145"/>
      <c r="O22" s="145"/>
      <c r="P22" s="149" t="s">
        <v>184</v>
      </c>
      <c r="Q22" s="235">
        <f>Q20+Q21</f>
        <v>853.96138999999994</v>
      </c>
      <c r="R22" s="235"/>
      <c r="S22" s="147"/>
      <c r="T22" s="138"/>
      <c r="U22" s="52"/>
      <c r="V22" s="62">
        <f>'Stage Storage Computations'!O10</f>
        <v>101.25</v>
      </c>
      <c r="W22" s="119">
        <f>IF(V22="","",'Stage Storage Computations'!P10)</f>
        <v>573.06124999999997</v>
      </c>
      <c r="X22" s="119" t="str">
        <f>'Stage Storage Computations'!O38</f>
        <v/>
      </c>
      <c r="Y22" s="119" t="str">
        <f>IF(X22="","",'Stage Storage Computations'!P38)</f>
        <v/>
      </c>
      <c r="Z22" s="63" t="str">
        <f>'Stage Storage Computations'!O66</f>
        <v/>
      </c>
      <c r="AA22" s="63" t="str">
        <f>IF(Z22="","",'Stage Storage Computations'!P66)</f>
        <v/>
      </c>
      <c r="AB22" s="63" t="str">
        <f>'Stage Storage Computations'!O94</f>
        <v/>
      </c>
      <c r="AC22" s="64" t="str">
        <f>IF(AB22="","",'Stage Storage Computations'!P94)</f>
        <v/>
      </c>
    </row>
    <row r="23" spans="1:29" s="161" customFormat="1" ht="14.25" x14ac:dyDescent="0.25">
      <c r="A23" s="51"/>
      <c r="B23" s="146"/>
      <c r="C23" s="140" t="s">
        <v>47</v>
      </c>
      <c r="D23" s="208">
        <v>150</v>
      </c>
      <c r="E23" s="145"/>
      <c r="F23" s="217" t="s">
        <v>134</v>
      </c>
      <c r="G23" s="217"/>
      <c r="H23" s="217"/>
      <c r="I23" s="217"/>
      <c r="J23" s="52"/>
      <c r="K23" s="51"/>
      <c r="L23" s="145"/>
      <c r="M23" s="145"/>
      <c r="N23" s="145"/>
      <c r="O23" s="145"/>
      <c r="P23" s="145"/>
      <c r="Q23" s="145"/>
      <c r="R23" s="145"/>
      <c r="S23" s="145"/>
      <c r="T23" s="139"/>
      <c r="U23" s="52"/>
      <c r="V23" s="62">
        <f>'Stage Storage Computations'!O11</f>
        <v>101.5</v>
      </c>
      <c r="W23" s="119">
        <f>IF(V23="","",'Stage Storage Computations'!P11)</f>
        <v>653.96138999999778</v>
      </c>
      <c r="X23" s="119" t="str">
        <f>'Stage Storage Computations'!O39</f>
        <v/>
      </c>
      <c r="Y23" s="119" t="str">
        <f>IF(X23="","",'Stage Storage Computations'!P39)</f>
        <v/>
      </c>
      <c r="Z23" s="63" t="str">
        <f>'Stage Storage Computations'!O67</f>
        <v/>
      </c>
      <c r="AA23" s="63" t="str">
        <f>IF(Z23="","",'Stage Storage Computations'!P67)</f>
        <v/>
      </c>
      <c r="AB23" s="63" t="str">
        <f>'Stage Storage Computations'!O95</f>
        <v/>
      </c>
      <c r="AC23" s="64" t="str">
        <f>IF(AB23="","",'Stage Storage Computations'!P95)</f>
        <v/>
      </c>
    </row>
    <row r="24" spans="1:29" s="161" customFormat="1" thickBot="1" x14ac:dyDescent="0.3">
      <c r="A24" s="51"/>
      <c r="B24" s="146"/>
      <c r="C24" s="146"/>
      <c r="D24" s="146"/>
      <c r="E24" s="145"/>
      <c r="F24" s="139"/>
      <c r="G24" s="146"/>
      <c r="H24" s="140" t="s">
        <v>103</v>
      </c>
      <c r="I24" s="202">
        <v>0</v>
      </c>
      <c r="J24" s="52"/>
      <c r="K24" s="51"/>
      <c r="L24" s="145"/>
      <c r="M24" s="217"/>
      <c r="N24" s="217"/>
      <c r="O24" s="217"/>
      <c r="P24" s="217"/>
      <c r="Q24" s="217"/>
      <c r="R24" s="217"/>
      <c r="S24" s="140"/>
      <c r="T24" s="138"/>
      <c r="U24" s="52"/>
      <c r="V24" s="62">
        <f>'Stage Storage Computations'!O12</f>
        <v>101.75</v>
      </c>
      <c r="W24" s="119">
        <f>IF(V24="","",'Stage Storage Computations'!P12)</f>
        <v>715.29472333333217</v>
      </c>
      <c r="X24" s="119" t="str">
        <f>'Stage Storage Computations'!O40</f>
        <v/>
      </c>
      <c r="Y24" s="119" t="str">
        <f>IF(X24="","",'Stage Storage Computations'!P40)</f>
        <v/>
      </c>
      <c r="Z24" s="63" t="str">
        <f>'Stage Storage Computations'!O68</f>
        <v/>
      </c>
      <c r="AA24" s="63" t="str">
        <f>IF(Z24="","",'Stage Storage Computations'!P68)</f>
        <v/>
      </c>
      <c r="AB24" s="63" t="str">
        <f>'Stage Storage Computations'!O96</f>
        <v/>
      </c>
      <c r="AC24" s="64" t="str">
        <f>IF(AB24="","",'Stage Storage Computations'!P96)</f>
        <v/>
      </c>
    </row>
    <row r="25" spans="1:29" s="161" customFormat="1" ht="15.75" customHeight="1" thickBot="1" x14ac:dyDescent="0.3">
      <c r="A25" s="51"/>
      <c r="B25" s="217" t="s">
        <v>77</v>
      </c>
      <c r="C25" s="217"/>
      <c r="D25" s="217"/>
      <c r="E25" s="145"/>
      <c r="F25" s="145"/>
      <c r="G25" s="146"/>
      <c r="H25" s="139"/>
      <c r="I25" s="139"/>
      <c r="J25" s="52"/>
      <c r="K25" s="222" t="s">
        <v>83</v>
      </c>
      <c r="L25" s="223"/>
      <c r="M25" s="223"/>
      <c r="N25" s="223"/>
      <c r="O25" s="223"/>
      <c r="P25" s="223"/>
      <c r="Q25" s="223"/>
      <c r="R25" s="223"/>
      <c r="S25" s="223"/>
      <c r="T25" s="223"/>
      <c r="U25" s="224"/>
      <c r="V25" s="62">
        <f>'Stage Storage Computations'!O13</f>
        <v>102</v>
      </c>
      <c r="W25" s="119">
        <f>IF(V25="","",'Stage Storage Computations'!P13)</f>
        <v>765.29472333333217</v>
      </c>
      <c r="X25" s="119" t="str">
        <f>'Stage Storage Computations'!O41</f>
        <v/>
      </c>
      <c r="Y25" s="119" t="str">
        <f>IF(X25="","",'Stage Storage Computations'!P41)</f>
        <v/>
      </c>
      <c r="Z25" s="63" t="str">
        <f>'Stage Storage Computations'!O69</f>
        <v/>
      </c>
      <c r="AA25" s="63" t="str">
        <f>IF(Z25="","",'Stage Storage Computations'!P69)</f>
        <v/>
      </c>
      <c r="AB25" s="63"/>
      <c r="AC25" s="64"/>
    </row>
    <row r="26" spans="1:29" s="161" customFormat="1" ht="14.25" x14ac:dyDescent="0.25">
      <c r="A26" s="51"/>
      <c r="B26" s="146"/>
      <c r="C26" s="140" t="s">
        <v>77</v>
      </c>
      <c r="D26" s="207">
        <v>750</v>
      </c>
      <c r="E26" s="145"/>
      <c r="F26" s="217" t="s">
        <v>46</v>
      </c>
      <c r="G26" s="217"/>
      <c r="H26" s="217"/>
      <c r="I26" s="217"/>
      <c r="J26" s="52"/>
      <c r="K26" s="47"/>
      <c r="L26" s="57"/>
      <c r="M26" s="57"/>
      <c r="N26" s="57"/>
      <c r="O26" s="57"/>
      <c r="P26" s="57"/>
      <c r="Q26" s="57"/>
      <c r="R26" s="57"/>
      <c r="S26" s="57"/>
      <c r="T26" s="57"/>
      <c r="U26" s="50"/>
      <c r="V26" s="62">
        <f>'Stage Storage Computations'!O14</f>
        <v>102.25</v>
      </c>
      <c r="W26" s="119">
        <f>IF(V26="","",'Stage Storage Computations'!P14)</f>
        <v>815.29472333333217</v>
      </c>
      <c r="X26" s="119" t="str">
        <f>'Stage Storage Computations'!O42</f>
        <v/>
      </c>
      <c r="Y26" s="119" t="str">
        <f>IF(X26="","",'Stage Storage Computations'!P42)</f>
        <v/>
      </c>
      <c r="Z26" s="63" t="str">
        <f>'Stage Storage Computations'!O70</f>
        <v/>
      </c>
      <c r="AA26" s="63" t="str">
        <f>IF(Z26="","",'Stage Storage Computations'!P70)</f>
        <v/>
      </c>
      <c r="AB26" s="63"/>
      <c r="AC26" s="64"/>
    </row>
    <row r="27" spans="1:29" s="161" customFormat="1" ht="14.25" x14ac:dyDescent="0.25">
      <c r="A27" s="51"/>
      <c r="B27" s="146"/>
      <c r="C27" s="140" t="s">
        <v>106</v>
      </c>
      <c r="D27" s="147" t="str">
        <f>IF(D$9="XD","N/A",IF(D13="Non-Traffic","N/A","ACF BX-12"))</f>
        <v>ACF BX-12</v>
      </c>
      <c r="E27" s="145"/>
      <c r="F27" s="139"/>
      <c r="G27" s="240" t="s">
        <v>107</v>
      </c>
      <c r="H27" s="241"/>
      <c r="I27" s="238" t="s">
        <v>187</v>
      </c>
      <c r="J27" s="52"/>
      <c r="K27" s="51"/>
      <c r="L27" s="139"/>
      <c r="M27" s="139"/>
      <c r="N27" s="139"/>
      <c r="O27" s="139"/>
      <c r="P27" s="140" t="str">
        <f>IF(N8="XD","R-Unit XD Panels:","Number of Primary Units:")</f>
        <v>Number of Primary Units:</v>
      </c>
      <c r="Q27" s="242">
        <f>IF(D9="XD",D10*Computations!G3,Computations!G3)</f>
        <v>129</v>
      </c>
      <c r="R27" s="242"/>
      <c r="S27" s="139"/>
      <c r="T27" s="139"/>
      <c r="U27" s="52"/>
      <c r="V27" s="62">
        <f>'Stage Storage Computations'!O15</f>
        <v>102.44333333333333</v>
      </c>
      <c r="W27" s="119">
        <f>IF(V27="","",'Stage Storage Computations'!P15)</f>
        <v>853.96138999999778</v>
      </c>
      <c r="X27" s="119" t="str">
        <f>'Stage Storage Computations'!O43</f>
        <v/>
      </c>
      <c r="Y27" s="119" t="str">
        <f>IF(X27="","",'Stage Storage Computations'!P43)</f>
        <v/>
      </c>
      <c r="Z27" s="63" t="str">
        <f>'Stage Storage Computations'!O71</f>
        <v/>
      </c>
      <c r="AA27" s="63" t="str">
        <f>IF(Z27="","",'Stage Storage Computations'!P71)</f>
        <v/>
      </c>
      <c r="AB27" s="63"/>
      <c r="AC27" s="64"/>
    </row>
    <row r="28" spans="1:29" s="161" customFormat="1" ht="14.25" x14ac:dyDescent="0.25">
      <c r="A28" s="51"/>
      <c r="B28" s="146"/>
      <c r="C28" s="146"/>
      <c r="D28" s="146"/>
      <c r="E28" s="145"/>
      <c r="F28" s="139"/>
      <c r="G28" s="240"/>
      <c r="H28" s="241"/>
      <c r="I28" s="239"/>
      <c r="J28" s="52"/>
      <c r="K28" s="51"/>
      <c r="L28" s="139"/>
      <c r="M28" s="139"/>
      <c r="N28" s="139"/>
      <c r="O28" s="139"/>
      <c r="P28" s="140" t="s">
        <v>179</v>
      </c>
      <c r="Q28" s="243">
        <f>I24</f>
        <v>0</v>
      </c>
      <c r="R28" s="243"/>
      <c r="S28" s="141"/>
      <c r="T28" s="139"/>
      <c r="U28" s="52"/>
      <c r="V28" s="62" t="str">
        <f>'Stage Storage Computations'!O16</f>
        <v/>
      </c>
      <c r="W28" s="119" t="str">
        <f>IF(V28="","",'Stage Storage Computations'!P16)</f>
        <v/>
      </c>
      <c r="X28" s="119" t="str">
        <f>'Stage Storage Computations'!O44</f>
        <v/>
      </c>
      <c r="Y28" s="119" t="str">
        <f>IF(X28="","",'Stage Storage Computations'!P44)</f>
        <v/>
      </c>
      <c r="Z28" s="63" t="str">
        <f>'Stage Storage Computations'!O72</f>
        <v/>
      </c>
      <c r="AA28" s="63" t="str">
        <f>IF(Z28="","",'Stage Storage Computations'!P72)</f>
        <v/>
      </c>
      <c r="AB28" s="63"/>
      <c r="AC28" s="64"/>
    </row>
    <row r="29" spans="1:29" s="161" customFormat="1" ht="14.25" x14ac:dyDescent="0.25">
      <c r="A29" s="51"/>
      <c r="B29" s="217" t="s">
        <v>155</v>
      </c>
      <c r="C29" s="217"/>
      <c r="D29" s="217"/>
      <c r="E29" s="146"/>
      <c r="F29" s="139"/>
      <c r="G29" s="146"/>
      <c r="H29" s="140" t="s">
        <v>73</v>
      </c>
      <c r="I29" s="200"/>
      <c r="J29" s="52"/>
      <c r="K29" s="51"/>
      <c r="L29" s="139"/>
      <c r="M29" s="139"/>
      <c r="N29" s="139"/>
      <c r="O29" s="139"/>
      <c r="P29" s="140" t="s">
        <v>85</v>
      </c>
      <c r="Q29" s="244">
        <f>Computations!K6</f>
        <v>28.644575308641976</v>
      </c>
      <c r="R29" s="244"/>
      <c r="S29" s="141"/>
      <c r="T29" s="139"/>
      <c r="U29" s="52"/>
      <c r="V29" s="62" t="str">
        <f>'Stage Storage Computations'!O17</f>
        <v/>
      </c>
      <c r="W29" s="119" t="str">
        <f>IF(V29="","",'Stage Storage Computations'!P17)</f>
        <v/>
      </c>
      <c r="X29" s="119" t="str">
        <f>'Stage Storage Computations'!O45</f>
        <v/>
      </c>
      <c r="Y29" s="119" t="str">
        <f>IF(X29="","",'Stage Storage Computations'!P45)</f>
        <v/>
      </c>
      <c r="Z29" s="63" t="str">
        <f>'Stage Storage Computations'!O73</f>
        <v/>
      </c>
      <c r="AA29" s="63" t="str">
        <f>IF(Z29="","",'Stage Storage Computations'!P73)</f>
        <v/>
      </c>
      <c r="AB29" s="63"/>
      <c r="AC29" s="64"/>
    </row>
    <row r="30" spans="1:29" s="161" customFormat="1" ht="14.25" x14ac:dyDescent="0.25">
      <c r="A30" s="51"/>
      <c r="B30" s="146"/>
      <c r="C30" s="140" t="s">
        <v>108</v>
      </c>
      <c r="D30" s="201" t="s">
        <v>104</v>
      </c>
      <c r="E30" s="146"/>
      <c r="F30" s="139"/>
      <c r="G30" s="146"/>
      <c r="H30" s="140" t="s">
        <v>69</v>
      </c>
      <c r="I30" s="201"/>
      <c r="J30" s="52"/>
      <c r="K30" s="58"/>
      <c r="L30" s="139"/>
      <c r="M30" s="139"/>
      <c r="N30" s="139"/>
      <c r="O30" s="139"/>
      <c r="P30" s="140" t="s">
        <v>156</v>
      </c>
      <c r="Q30" s="230">
        <f>Computations!I10</f>
        <v>1079.4973333333332</v>
      </c>
      <c r="R30" s="230"/>
      <c r="S30" s="143">
        <f>Q30/9</f>
        <v>119.94414814814814</v>
      </c>
      <c r="T30" s="139"/>
      <c r="U30" s="59"/>
      <c r="V30" s="62" t="str">
        <f>'Stage Storage Computations'!O18</f>
        <v/>
      </c>
      <c r="W30" s="119" t="str">
        <f>IF(V30="","",'Stage Storage Computations'!P18)</f>
        <v/>
      </c>
      <c r="X30" s="119" t="str">
        <f>'Stage Storage Computations'!O46</f>
        <v/>
      </c>
      <c r="Y30" s="119" t="str">
        <f>IF(X30="","",'Stage Storage Computations'!P46)</f>
        <v/>
      </c>
      <c r="Z30" s="63" t="str">
        <f>'Stage Storage Computations'!O74</f>
        <v/>
      </c>
      <c r="AA30" s="63" t="str">
        <f>IF(Z30="","",'Stage Storage Computations'!P74)</f>
        <v/>
      </c>
      <c r="AB30" s="63"/>
      <c r="AC30" s="64"/>
    </row>
    <row r="31" spans="1:29" s="161" customFormat="1" ht="14.25" x14ac:dyDescent="0.25">
      <c r="A31" s="51"/>
      <c r="B31" s="146"/>
      <c r="C31" s="140" t="s">
        <v>105</v>
      </c>
      <c r="D31" s="201" t="s">
        <v>49</v>
      </c>
      <c r="E31" s="145"/>
      <c r="F31" s="139"/>
      <c r="G31" s="146"/>
      <c r="H31" s="140" t="s">
        <v>64</v>
      </c>
      <c r="I31" s="201"/>
      <c r="J31" s="52"/>
      <c r="K31" s="58"/>
      <c r="L31" s="139"/>
      <c r="M31" s="139"/>
      <c r="N31" s="139"/>
      <c r="O31" s="139"/>
      <c r="P31" s="140" t="s">
        <v>86</v>
      </c>
      <c r="Q31" s="230">
        <f>Computations!I14</f>
        <v>1614.6</v>
      </c>
      <c r="R31" s="230"/>
      <c r="S31" s="143">
        <f t="shared" ref="S31:S33" si="1">Q31/9</f>
        <v>179.39999999999998</v>
      </c>
      <c r="T31" s="139"/>
      <c r="U31" s="59"/>
      <c r="V31" s="62" t="str">
        <f>'Stage Storage Computations'!O19</f>
        <v/>
      </c>
      <c r="W31" s="119" t="str">
        <f>IF(V31="","",'Stage Storage Computations'!P19)</f>
        <v/>
      </c>
      <c r="X31" s="119" t="str">
        <f>'Stage Storage Computations'!O47</f>
        <v/>
      </c>
      <c r="Y31" s="119" t="str">
        <f>IF(X31="","",'Stage Storage Computations'!P47)</f>
        <v/>
      </c>
      <c r="Z31" s="63" t="str">
        <f>'Stage Storage Computations'!O75</f>
        <v/>
      </c>
      <c r="AA31" s="63" t="str">
        <f>IF(Z31="","",'Stage Storage Computations'!P75)</f>
        <v/>
      </c>
      <c r="AB31" s="63"/>
      <c r="AC31" s="64"/>
    </row>
    <row r="32" spans="1:29" s="161" customFormat="1" ht="14.25" x14ac:dyDescent="0.25">
      <c r="A32" s="51"/>
      <c r="B32" s="146"/>
      <c r="C32" s="146"/>
      <c r="D32" s="146"/>
      <c r="E32" s="146"/>
      <c r="F32" s="139"/>
      <c r="G32" s="139"/>
      <c r="H32" s="140" t="s">
        <v>70</v>
      </c>
      <c r="I32" s="201"/>
      <c r="J32" s="52"/>
      <c r="K32" s="58"/>
      <c r="L32" s="139"/>
      <c r="M32" s="139"/>
      <c r="N32" s="139"/>
      <c r="O32" s="139"/>
      <c r="P32" s="140" t="s">
        <v>1</v>
      </c>
      <c r="Q32" s="230">
        <f>Computations!G18</f>
        <v>0</v>
      </c>
      <c r="R32" s="230"/>
      <c r="S32" s="143">
        <f t="shared" si="1"/>
        <v>0</v>
      </c>
      <c r="T32" s="139"/>
      <c r="U32" s="59"/>
      <c r="V32" s="62" t="str">
        <f>'Stage Storage Computations'!O20</f>
        <v/>
      </c>
      <c r="W32" s="119" t="str">
        <f>IF(V32="","",'Stage Storage Computations'!P20)</f>
        <v/>
      </c>
      <c r="X32" s="119" t="str">
        <f>'Stage Storage Computations'!O48</f>
        <v/>
      </c>
      <c r="Y32" s="119" t="str">
        <f>IF(X32="","",'Stage Storage Computations'!P48)</f>
        <v/>
      </c>
      <c r="Z32" s="63" t="str">
        <f>'Stage Storage Computations'!O76</f>
        <v/>
      </c>
      <c r="AA32" s="63" t="str">
        <f>IF(Z32="","",'Stage Storage Computations'!P76)</f>
        <v/>
      </c>
      <c r="AB32" s="63"/>
      <c r="AC32" s="64"/>
    </row>
    <row r="33" spans="1:29" s="161" customFormat="1" ht="14.25" x14ac:dyDescent="0.25">
      <c r="A33" s="51"/>
      <c r="B33" s="217" t="s">
        <v>93</v>
      </c>
      <c r="C33" s="217"/>
      <c r="D33" s="217"/>
      <c r="E33" s="146"/>
      <c r="F33" s="139"/>
      <c r="G33" s="139"/>
      <c r="H33" s="139"/>
      <c r="I33" s="139"/>
      <c r="J33" s="52"/>
      <c r="K33" s="58"/>
      <c r="L33" s="139"/>
      <c r="M33" s="139"/>
      <c r="N33" s="139"/>
      <c r="O33" s="139"/>
      <c r="P33" s="140" t="s">
        <v>178</v>
      </c>
      <c r="Q33" s="230">
        <f>Computations!D21</f>
        <v>862.49999999999989</v>
      </c>
      <c r="R33" s="230"/>
      <c r="S33" s="143">
        <f t="shared" si="1"/>
        <v>95.833333333333314</v>
      </c>
      <c r="T33" s="139"/>
      <c r="U33" s="59"/>
      <c r="V33" s="62" t="str">
        <f>'Stage Storage Computations'!O21</f>
        <v/>
      </c>
      <c r="W33" s="119" t="str">
        <f>IF(V33="","",'Stage Storage Computations'!P21)</f>
        <v/>
      </c>
      <c r="X33" s="119" t="str">
        <f>'Stage Storage Computations'!O49</f>
        <v/>
      </c>
      <c r="Y33" s="119" t="str">
        <f>IF(X33="","",'Stage Storage Computations'!P49)</f>
        <v/>
      </c>
      <c r="Z33" s="63" t="str">
        <f>'Stage Storage Computations'!O77</f>
        <v/>
      </c>
      <c r="AA33" s="63" t="str">
        <f>IF(Z33="","",'Stage Storage Computations'!P77)</f>
        <v/>
      </c>
      <c r="AB33" s="63"/>
      <c r="AC33" s="64"/>
    </row>
    <row r="34" spans="1:29" s="161" customFormat="1" ht="14.25" x14ac:dyDescent="0.25">
      <c r="A34" s="51"/>
      <c r="B34" s="146"/>
      <c r="C34" s="140" t="s">
        <v>108</v>
      </c>
      <c r="D34" s="201" t="s">
        <v>104</v>
      </c>
      <c r="E34" s="146"/>
      <c r="F34" s="139"/>
      <c r="G34" s="139"/>
      <c r="H34" s="139"/>
      <c r="I34" s="139"/>
      <c r="J34" s="52"/>
      <c r="K34" s="58"/>
      <c r="L34" s="139"/>
      <c r="M34" s="139"/>
      <c r="N34" s="139"/>
      <c r="O34" s="139"/>
      <c r="P34" s="140"/>
      <c r="Q34" s="230"/>
      <c r="R34" s="230"/>
      <c r="S34" s="143"/>
      <c r="T34" s="139"/>
      <c r="U34" s="59"/>
      <c r="V34" s="62" t="str">
        <f>'Stage Storage Computations'!O22</f>
        <v/>
      </c>
      <c r="W34" s="119" t="str">
        <f>IF(V34="","",'Stage Storage Computations'!P22)</f>
        <v/>
      </c>
      <c r="X34" s="119" t="str">
        <f>'Stage Storage Computations'!O50</f>
        <v/>
      </c>
      <c r="Y34" s="119" t="str">
        <f>IF(X34="","",'Stage Storage Computations'!P50)</f>
        <v/>
      </c>
      <c r="Z34" s="63" t="str">
        <f>'Stage Storage Computations'!O78</f>
        <v/>
      </c>
      <c r="AA34" s="63" t="str">
        <f>IF(Z34="","",'Stage Storage Computations'!P78)</f>
        <v/>
      </c>
      <c r="AB34" s="63"/>
      <c r="AC34" s="64"/>
    </row>
    <row r="35" spans="1:29" s="161" customFormat="1" ht="14.25" x14ac:dyDescent="0.25">
      <c r="A35" s="51"/>
      <c r="B35" s="146"/>
      <c r="C35" s="140" t="s">
        <v>69</v>
      </c>
      <c r="D35" s="201" t="s">
        <v>49</v>
      </c>
      <c r="E35" s="146"/>
      <c r="F35" s="139"/>
      <c r="G35" s="139"/>
      <c r="H35" s="139"/>
      <c r="I35" s="139"/>
      <c r="J35" s="52"/>
      <c r="K35" s="58"/>
      <c r="L35" s="139"/>
      <c r="M35" s="139"/>
      <c r="N35" s="139"/>
      <c r="O35" s="139"/>
      <c r="P35" s="140"/>
      <c r="Q35" s="230"/>
      <c r="R35" s="230"/>
      <c r="S35" s="143"/>
      <c r="T35" s="139"/>
      <c r="U35" s="59"/>
      <c r="V35" s="62" t="str">
        <f>'Stage Storage Computations'!O23</f>
        <v/>
      </c>
      <c r="W35" s="119" t="str">
        <f>IF(V35="","",'Stage Storage Computations'!P23)</f>
        <v/>
      </c>
      <c r="X35" s="119" t="str">
        <f>'Stage Storage Computations'!O51</f>
        <v/>
      </c>
      <c r="Y35" s="119" t="str">
        <f>IF(X35="","",'Stage Storage Computations'!P51)</f>
        <v/>
      </c>
      <c r="Z35" s="63" t="str">
        <f>'Stage Storage Computations'!O79</f>
        <v/>
      </c>
      <c r="AA35" s="63" t="str">
        <f>IF(Z35="","",'Stage Storage Computations'!P79)</f>
        <v/>
      </c>
      <c r="AB35" s="63"/>
      <c r="AC35" s="64"/>
    </row>
    <row r="36" spans="1:29" s="161" customFormat="1" ht="14.25" x14ac:dyDescent="0.25">
      <c r="A36" s="51"/>
      <c r="B36" s="146"/>
      <c r="C36" s="140" t="s">
        <v>64</v>
      </c>
      <c r="D36" s="201" t="s">
        <v>49</v>
      </c>
      <c r="E36" s="146"/>
      <c r="F36" s="139"/>
      <c r="G36" s="139"/>
      <c r="H36" s="139"/>
      <c r="I36" s="139"/>
      <c r="J36" s="52"/>
      <c r="K36" s="58"/>
      <c r="L36" s="139"/>
      <c r="M36" s="139"/>
      <c r="N36" s="139"/>
      <c r="O36" s="139"/>
      <c r="P36" s="139"/>
      <c r="Q36" s="139"/>
      <c r="R36" s="139"/>
      <c r="S36" s="139"/>
      <c r="T36" s="139"/>
      <c r="U36" s="59"/>
      <c r="V36" s="62" t="str">
        <f>'Stage Storage Computations'!O24</f>
        <v/>
      </c>
      <c r="W36" s="119" t="str">
        <f>IF(V36="","",'Stage Storage Computations'!P24)</f>
        <v/>
      </c>
      <c r="X36" s="119" t="str">
        <f>'Stage Storage Computations'!O52</f>
        <v/>
      </c>
      <c r="Y36" s="119" t="str">
        <f>IF(X36="","",'Stage Storage Computations'!P52)</f>
        <v/>
      </c>
      <c r="Z36" s="63" t="str">
        <f>'Stage Storage Computations'!O80</f>
        <v/>
      </c>
      <c r="AA36" s="63" t="str">
        <f>IF(Z36="","",'Stage Storage Computations'!P80)</f>
        <v/>
      </c>
      <c r="AB36" s="63"/>
      <c r="AC36" s="64"/>
    </row>
    <row r="37" spans="1:29" s="187" customFormat="1" ht="14.25" x14ac:dyDescent="0.25">
      <c r="A37" s="51"/>
      <c r="B37" s="146"/>
      <c r="C37" s="140" t="s">
        <v>70</v>
      </c>
      <c r="D37" s="201" t="s">
        <v>49</v>
      </c>
      <c r="E37" s="146"/>
      <c r="F37" s="139"/>
      <c r="G37" s="139"/>
      <c r="H37" s="139"/>
      <c r="I37" s="139"/>
      <c r="J37" s="52"/>
      <c r="K37" s="58"/>
      <c r="L37" s="139"/>
      <c r="M37" s="139"/>
      <c r="N37" s="139"/>
      <c r="O37" s="139"/>
      <c r="P37" s="139"/>
      <c r="Q37" s="139"/>
      <c r="R37" s="139"/>
      <c r="S37" s="139"/>
      <c r="T37" s="139"/>
      <c r="U37" s="59"/>
      <c r="V37" s="62" t="str">
        <f>'Stage Storage Computations'!O25</f>
        <v/>
      </c>
      <c r="W37" s="119" t="str">
        <f>IF(V37="","",'Stage Storage Computations'!P25)</f>
        <v/>
      </c>
      <c r="X37" s="119" t="str">
        <f>'Stage Storage Computations'!O53</f>
        <v/>
      </c>
      <c r="Y37" s="119" t="str">
        <f>IF(X37="","",'Stage Storage Computations'!P53)</f>
        <v/>
      </c>
      <c r="Z37" s="63" t="str">
        <f>'Stage Storage Computations'!O81</f>
        <v/>
      </c>
      <c r="AA37" s="63" t="str">
        <f>IF(Z37="","",'Stage Storage Computations'!P81)</f>
        <v/>
      </c>
      <c r="AB37" s="63"/>
      <c r="AC37" s="64"/>
    </row>
    <row r="38" spans="1:29" s="161" customFormat="1" ht="14.25" x14ac:dyDescent="0.25">
      <c r="A38" s="51"/>
      <c r="B38" s="146"/>
      <c r="C38" s="140"/>
      <c r="D38" s="146"/>
      <c r="E38" s="146"/>
      <c r="F38" s="139"/>
      <c r="G38" s="139"/>
      <c r="H38" s="139"/>
      <c r="I38" s="139"/>
      <c r="J38" s="52"/>
      <c r="K38" s="58"/>
      <c r="L38" s="139"/>
      <c r="M38" s="139"/>
      <c r="N38" s="139"/>
      <c r="O38" s="139"/>
      <c r="P38" s="139"/>
      <c r="Q38" s="139"/>
      <c r="R38" s="139"/>
      <c r="S38" s="139"/>
      <c r="T38" s="139"/>
      <c r="U38" s="59"/>
      <c r="V38" s="62" t="str">
        <f>'Stage Storage Computations'!O26</f>
        <v/>
      </c>
      <c r="W38" s="119" t="str">
        <f>IF(V38="","",'Stage Storage Computations'!P26)</f>
        <v/>
      </c>
      <c r="X38" s="119" t="str">
        <f>'Stage Storage Computations'!O54</f>
        <v/>
      </c>
      <c r="Y38" s="119" t="str">
        <f>IF(X38="","",'Stage Storage Computations'!P54)</f>
        <v/>
      </c>
      <c r="Z38" s="63" t="str">
        <f>'Stage Storage Computations'!O82</f>
        <v/>
      </c>
      <c r="AA38" s="63" t="str">
        <f>IF(Z38="","",'Stage Storage Computations'!P82)</f>
        <v/>
      </c>
      <c r="AB38" s="63"/>
      <c r="AC38" s="64"/>
    </row>
    <row r="39" spans="1:29" s="161" customFormat="1" ht="14.25" x14ac:dyDescent="0.25">
      <c r="A39" s="51"/>
      <c r="B39" s="146"/>
      <c r="C39" s="140"/>
      <c r="D39" s="146"/>
      <c r="E39" s="146"/>
      <c r="F39" s="139"/>
      <c r="G39" s="139"/>
      <c r="H39" s="139"/>
      <c r="I39" s="139"/>
      <c r="J39" s="52"/>
      <c r="K39" s="58"/>
      <c r="L39" s="139"/>
      <c r="M39" s="139"/>
      <c r="N39" s="139"/>
      <c r="O39" s="139"/>
      <c r="P39" s="139"/>
      <c r="Q39" s="139"/>
      <c r="R39" s="139"/>
      <c r="S39" s="139"/>
      <c r="T39" s="139"/>
      <c r="U39" s="59"/>
      <c r="V39" s="62" t="str">
        <f>'Stage Storage Computations'!O27</f>
        <v/>
      </c>
      <c r="W39" s="119" t="str">
        <f>IF(V39="","",'Stage Storage Computations'!P27)</f>
        <v/>
      </c>
      <c r="X39" s="119" t="str">
        <f>'Stage Storage Computations'!O55</f>
        <v/>
      </c>
      <c r="Y39" s="119" t="str">
        <f>IF(X39="","",'Stage Storage Computations'!P55)</f>
        <v/>
      </c>
      <c r="Z39" s="63" t="str">
        <f>'Stage Storage Computations'!O83</f>
        <v/>
      </c>
      <c r="AA39" s="63" t="str">
        <f>IF(Z39="","",'Stage Storage Computations'!P83)</f>
        <v/>
      </c>
      <c r="AB39" s="63"/>
      <c r="AC39" s="64"/>
    </row>
    <row r="40" spans="1:29" s="161" customFormat="1" ht="14.25" x14ac:dyDescent="0.25">
      <c r="A40" s="51"/>
      <c r="B40" s="146"/>
      <c r="C40" s="140"/>
      <c r="D40" s="146"/>
      <c r="E40" s="146"/>
      <c r="F40" s="139"/>
      <c r="G40" s="139"/>
      <c r="H40" s="139"/>
      <c r="I40" s="139"/>
      <c r="J40" s="52"/>
      <c r="K40" s="58"/>
      <c r="L40" s="139"/>
      <c r="M40" s="139"/>
      <c r="N40" s="139"/>
      <c r="O40" s="139"/>
      <c r="P40" s="139"/>
      <c r="Q40" s="139"/>
      <c r="R40" s="139"/>
      <c r="S40" s="139"/>
      <c r="T40" s="139"/>
      <c r="U40" s="59"/>
      <c r="V40" s="62" t="str">
        <f>'Stage Storage Computations'!O28</f>
        <v/>
      </c>
      <c r="W40" s="119" t="str">
        <f>IF(V40="","",'Stage Storage Computations'!P28)</f>
        <v/>
      </c>
      <c r="X40" s="119" t="str">
        <f>'Stage Storage Computations'!O56</f>
        <v/>
      </c>
      <c r="Y40" s="119" t="str">
        <f>IF(X40="","",'Stage Storage Computations'!P56)</f>
        <v/>
      </c>
      <c r="Z40" s="63" t="str">
        <f>'Stage Storage Computations'!O84</f>
        <v/>
      </c>
      <c r="AA40" s="63" t="str">
        <f>IF(Z40="","",'Stage Storage Computations'!P84)</f>
        <v/>
      </c>
      <c r="AB40" s="63"/>
      <c r="AC40" s="64"/>
    </row>
    <row r="41" spans="1:29" s="161" customFormat="1" ht="14.25" customHeight="1" x14ac:dyDescent="0.25">
      <c r="A41" s="51"/>
      <c r="B41" s="146"/>
      <c r="C41" s="140"/>
      <c r="D41" s="146"/>
      <c r="E41" s="146"/>
      <c r="F41" s="139"/>
      <c r="G41" s="139"/>
      <c r="H41" s="139"/>
      <c r="I41" s="139"/>
      <c r="J41" s="52"/>
      <c r="K41" s="58"/>
      <c r="L41" s="139"/>
      <c r="M41" s="139"/>
      <c r="N41" s="139"/>
      <c r="O41" s="139"/>
      <c r="P41" s="139"/>
      <c r="Q41" s="139"/>
      <c r="R41" s="139"/>
      <c r="S41" s="139"/>
      <c r="T41" s="139"/>
      <c r="U41" s="59"/>
      <c r="V41" s="62" t="str">
        <f>'Stage Storage Computations'!O29</f>
        <v/>
      </c>
      <c r="W41" s="119" t="str">
        <f>IF(V41="","",'Stage Storage Computations'!P29)</f>
        <v/>
      </c>
      <c r="X41" s="119" t="str">
        <f>'Stage Storage Computations'!O57</f>
        <v/>
      </c>
      <c r="Y41" s="119" t="str">
        <f>IF(X41="","",'Stage Storage Computations'!P57)</f>
        <v/>
      </c>
      <c r="Z41" s="63" t="str">
        <f>'Stage Storage Computations'!O85</f>
        <v/>
      </c>
      <c r="AA41" s="63" t="str">
        <f>IF(Z41="","",'Stage Storage Computations'!P85)</f>
        <v/>
      </c>
      <c r="AB41" s="63"/>
      <c r="AC41" s="64"/>
    </row>
    <row r="42" spans="1:29" s="161" customFormat="1" ht="14.25" x14ac:dyDescent="0.25">
      <c r="A42" s="51"/>
      <c r="B42" s="146"/>
      <c r="C42" s="140"/>
      <c r="D42" s="146"/>
      <c r="E42" s="146"/>
      <c r="F42" s="139"/>
      <c r="G42" s="139"/>
      <c r="H42" s="139"/>
      <c r="I42" s="139"/>
      <c r="J42" s="52"/>
      <c r="K42" s="58"/>
      <c r="L42" s="139"/>
      <c r="M42" s="139"/>
      <c r="N42" s="139"/>
      <c r="O42" s="139"/>
      <c r="P42" s="139"/>
      <c r="Q42" s="139"/>
      <c r="R42" s="139"/>
      <c r="S42" s="139"/>
      <c r="T42" s="139"/>
      <c r="U42" s="59"/>
      <c r="V42" s="62" t="str">
        <f>'Stage Storage Computations'!O30</f>
        <v/>
      </c>
      <c r="W42" s="119" t="str">
        <f>IF(V42="","",'Stage Storage Computations'!P30)</f>
        <v/>
      </c>
      <c r="X42" s="119" t="str">
        <f>'Stage Storage Computations'!O58</f>
        <v/>
      </c>
      <c r="Y42" s="119" t="str">
        <f>IF(X42="","",'Stage Storage Computations'!P58)</f>
        <v/>
      </c>
      <c r="Z42" s="63" t="str">
        <f>'Stage Storage Computations'!O86</f>
        <v/>
      </c>
      <c r="AA42" s="63" t="str">
        <f>IF(Z42="","",'Stage Storage Computations'!P86)</f>
        <v/>
      </c>
      <c r="AB42" s="63"/>
      <c r="AC42" s="64"/>
    </row>
    <row r="43" spans="1:29" s="161" customFormat="1" thickBot="1" x14ac:dyDescent="0.3">
      <c r="A43" s="51"/>
      <c r="B43" s="146"/>
      <c r="C43" s="140"/>
      <c r="D43" s="146"/>
      <c r="E43" s="146"/>
      <c r="F43" s="139"/>
      <c r="G43" s="139"/>
      <c r="H43" s="139"/>
      <c r="I43" s="139"/>
      <c r="J43" s="52"/>
      <c r="K43" s="58"/>
      <c r="L43" s="139"/>
      <c r="M43" s="139"/>
      <c r="N43" s="139"/>
      <c r="O43" s="139"/>
      <c r="P43" s="139"/>
      <c r="Q43" s="139"/>
      <c r="R43" s="139"/>
      <c r="S43" s="139"/>
      <c r="T43" s="139"/>
      <c r="U43" s="59"/>
      <c r="V43" s="65" t="str">
        <f>'Stage Storage Computations'!O31</f>
        <v/>
      </c>
      <c r="W43" s="128" t="str">
        <f>IF(V43="","",'Stage Storage Computations'!P31)</f>
        <v/>
      </c>
      <c r="X43" s="128" t="str">
        <f>'Stage Storage Computations'!O59</f>
        <v/>
      </c>
      <c r="Y43" s="128" t="str">
        <f>IF(X43="","",'Stage Storage Computations'!P59)</f>
        <v/>
      </c>
      <c r="Z43" s="66" t="str">
        <f>'Stage Storage Computations'!O87</f>
        <v/>
      </c>
      <c r="AA43" s="66" t="str">
        <f>IF(Z43="","",'Stage Storage Computations'!P87)</f>
        <v/>
      </c>
      <c r="AB43" s="66"/>
      <c r="AC43" s="67"/>
    </row>
    <row r="44" spans="1:29" s="161" customFormat="1" ht="14.25" x14ac:dyDescent="0.25">
      <c r="A44" s="51"/>
      <c r="B44" s="146"/>
      <c r="C44" s="140"/>
      <c r="D44" s="146"/>
      <c r="E44" s="146"/>
      <c r="F44" s="139"/>
      <c r="G44" s="139"/>
      <c r="H44" s="139"/>
      <c r="I44" s="139"/>
      <c r="J44" s="52"/>
      <c r="K44" s="58"/>
      <c r="L44" s="139"/>
      <c r="M44" s="139"/>
      <c r="N44" s="139"/>
      <c r="O44" s="139"/>
      <c r="P44" s="139"/>
      <c r="Q44" s="139"/>
      <c r="R44" s="139"/>
      <c r="S44" s="139"/>
      <c r="T44" s="139"/>
      <c r="U44" s="59"/>
      <c r="V44" s="189"/>
      <c r="W44" s="57"/>
      <c r="X44" s="57"/>
      <c r="Y44" s="57"/>
      <c r="Z44" s="57"/>
      <c r="AA44" s="57"/>
      <c r="AB44" s="57"/>
      <c r="AC44" s="190"/>
    </row>
    <row r="45" spans="1:29" s="161" customFormat="1" ht="14.25" x14ac:dyDescent="0.25">
      <c r="A45" s="51"/>
      <c r="B45" s="146"/>
      <c r="C45" s="140"/>
      <c r="D45" s="146"/>
      <c r="E45" s="146"/>
      <c r="F45" s="139"/>
      <c r="G45" s="139"/>
      <c r="H45" s="139"/>
      <c r="I45" s="139"/>
      <c r="J45" s="52"/>
      <c r="K45" s="58"/>
      <c r="L45" s="139"/>
      <c r="M45" s="139"/>
      <c r="N45" s="139"/>
      <c r="O45" s="139"/>
      <c r="P45" s="139"/>
      <c r="Q45" s="139"/>
      <c r="R45" s="139"/>
      <c r="S45" s="139"/>
      <c r="T45" s="139"/>
      <c r="U45" s="59"/>
      <c r="V45" s="58"/>
      <c r="W45" s="210" t="s">
        <v>197</v>
      </c>
      <c r="X45" s="211"/>
      <c r="Y45" s="211"/>
      <c r="Z45" s="211"/>
      <c r="AA45" s="211"/>
      <c r="AB45" s="211"/>
      <c r="AC45" s="59"/>
    </row>
    <row r="46" spans="1:29" s="161" customFormat="1" ht="14.25" x14ac:dyDescent="0.25">
      <c r="A46" s="51"/>
      <c r="B46" s="146"/>
      <c r="C46" s="140"/>
      <c r="D46" s="146"/>
      <c r="E46" s="146"/>
      <c r="F46" s="139"/>
      <c r="G46" s="139"/>
      <c r="H46" s="139"/>
      <c r="I46" s="139"/>
      <c r="J46" s="52"/>
      <c r="K46" s="58"/>
      <c r="L46" s="139"/>
      <c r="M46" s="139"/>
      <c r="N46" s="139"/>
      <c r="O46" s="139"/>
      <c r="P46" s="139"/>
      <c r="Q46" s="139"/>
      <c r="R46" s="139"/>
      <c r="S46" s="139"/>
      <c r="T46" s="139"/>
      <c r="U46" s="59"/>
      <c r="V46" s="58"/>
      <c r="W46" s="211"/>
      <c r="X46" s="211"/>
      <c r="Y46" s="211"/>
      <c r="Z46" s="211"/>
      <c r="AA46" s="211"/>
      <c r="AB46" s="211"/>
      <c r="AC46" s="59"/>
    </row>
    <row r="47" spans="1:29" s="161" customFormat="1" ht="14.25" x14ac:dyDescent="0.25">
      <c r="A47" s="51"/>
      <c r="B47" s="146"/>
      <c r="C47" s="146"/>
      <c r="D47" s="146"/>
      <c r="E47" s="146"/>
      <c r="F47" s="145"/>
      <c r="G47" s="145"/>
      <c r="H47" s="145"/>
      <c r="I47" s="145"/>
      <c r="J47" s="52"/>
      <c r="K47" s="58"/>
      <c r="L47" s="139"/>
      <c r="M47" s="139"/>
      <c r="N47" s="139"/>
      <c r="O47" s="139"/>
      <c r="P47" s="139"/>
      <c r="Q47" s="139"/>
      <c r="R47" s="139"/>
      <c r="S47" s="139"/>
      <c r="T47" s="139"/>
      <c r="U47" s="59"/>
      <c r="V47" s="58"/>
      <c r="W47" s="211"/>
      <c r="X47" s="211"/>
      <c r="Y47" s="211"/>
      <c r="Z47" s="211"/>
      <c r="AA47" s="211"/>
      <c r="AB47" s="211"/>
      <c r="AC47" s="59"/>
    </row>
    <row r="48" spans="1:29" s="161" customFormat="1" thickBot="1" x14ac:dyDescent="0.3">
      <c r="A48" s="51"/>
      <c r="B48" s="146"/>
      <c r="C48" s="146"/>
      <c r="D48" s="146"/>
      <c r="E48" s="146"/>
      <c r="F48" s="139"/>
      <c r="G48" s="139"/>
      <c r="H48" s="139"/>
      <c r="I48" s="188"/>
      <c r="J48" s="52"/>
      <c r="K48" s="58"/>
      <c r="L48" s="139"/>
      <c r="M48" s="139"/>
      <c r="N48" s="139"/>
      <c r="O48" s="139"/>
      <c r="P48" s="140"/>
      <c r="Q48" s="142"/>
      <c r="R48" s="142"/>
      <c r="S48" s="143"/>
      <c r="T48" s="139"/>
      <c r="U48" s="59"/>
      <c r="V48" s="58"/>
      <c r="W48" s="211"/>
      <c r="X48" s="211"/>
      <c r="Y48" s="211"/>
      <c r="Z48" s="211"/>
      <c r="AA48" s="211"/>
      <c r="AB48" s="211"/>
      <c r="AC48" s="59"/>
    </row>
    <row r="49" spans="1:29" s="161" customFormat="1" ht="14.25" x14ac:dyDescent="0.25">
      <c r="A49" s="262"/>
      <c r="B49" s="263"/>
      <c r="C49" s="263"/>
      <c r="D49" s="263"/>
      <c r="E49" s="263"/>
      <c r="F49" s="263"/>
      <c r="G49" s="263"/>
      <c r="H49" s="263"/>
      <c r="I49" s="264"/>
      <c r="J49" s="265"/>
      <c r="K49" s="262"/>
      <c r="L49" s="263"/>
      <c r="M49" s="263"/>
      <c r="N49" s="263"/>
      <c r="O49" s="263"/>
      <c r="P49" s="263"/>
      <c r="Q49" s="263"/>
      <c r="R49" s="263"/>
      <c r="S49" s="263"/>
      <c r="T49" s="264"/>
      <c r="U49" s="265"/>
      <c r="V49" s="262"/>
      <c r="W49" s="263"/>
      <c r="X49" s="263"/>
      <c r="Y49" s="263"/>
      <c r="Z49" s="263"/>
      <c r="AA49" s="263"/>
      <c r="AB49" s="264"/>
      <c r="AC49" s="265"/>
    </row>
    <row r="50" spans="1:29" s="161" customFormat="1" thickBot="1" x14ac:dyDescent="0.3">
      <c r="A50" s="191"/>
      <c r="B50" s="192"/>
      <c r="C50" s="192"/>
      <c r="D50" s="192"/>
      <c r="E50" s="192"/>
      <c r="F50" s="192"/>
      <c r="G50" s="192"/>
      <c r="H50" s="192"/>
      <c r="I50" s="193"/>
      <c r="J50" s="194"/>
      <c r="K50" s="191"/>
      <c r="L50" s="192"/>
      <c r="M50" s="192"/>
      <c r="N50" s="192"/>
      <c r="O50" s="192"/>
      <c r="P50" s="192"/>
      <c r="Q50" s="192"/>
      <c r="R50" s="192"/>
      <c r="S50" s="192"/>
      <c r="T50" s="193"/>
      <c r="U50" s="194"/>
      <c r="V50" s="191"/>
      <c r="W50" s="192"/>
      <c r="X50" s="192"/>
      <c r="Y50" s="192"/>
      <c r="Z50" s="192"/>
      <c r="AA50" s="192"/>
      <c r="AB50" s="193"/>
      <c r="AC50" s="194"/>
    </row>
    <row r="51" spans="1:29" x14ac:dyDescent="0.25">
      <c r="T51" s="195"/>
      <c r="AB51" s="195"/>
    </row>
  </sheetData>
  <sheetProtection algorithmName="SHA-512" hashValue="wtiFDcM1rMePPLVkKWk/b01t7NFb82I1SoWaknU4zjOmamtCDUAfylvHDjzamG5p71Cihy44t25vFgngFrIWzQ==" saltValue="9eHqZ4CxjDT6/g2C0hSL/Q==" spinCount="100000" sheet="1" objects="1" scenarios="1"/>
  <mergeCells count="56">
    <mergeCell ref="B25:D25"/>
    <mergeCell ref="F23:I23"/>
    <mergeCell ref="F26:I26"/>
    <mergeCell ref="B16:D16"/>
    <mergeCell ref="Q31:R31"/>
    <mergeCell ref="I27:I28"/>
    <mergeCell ref="G27:H28"/>
    <mergeCell ref="K25:U25"/>
    <mergeCell ref="Q27:R27"/>
    <mergeCell ref="Q28:R28"/>
    <mergeCell ref="Q29:R29"/>
    <mergeCell ref="Q30:R30"/>
    <mergeCell ref="Z9:AA9"/>
    <mergeCell ref="Z10:AA10"/>
    <mergeCell ref="L10:M10"/>
    <mergeCell ref="N13:O13"/>
    <mergeCell ref="Q22:R22"/>
    <mergeCell ref="Q21:R21"/>
    <mergeCell ref="V1:AC1"/>
    <mergeCell ref="K6:U6"/>
    <mergeCell ref="K1:U1"/>
    <mergeCell ref="V6:AC6"/>
    <mergeCell ref="Z8:AA8"/>
    <mergeCell ref="L8:T8"/>
    <mergeCell ref="A1:J1"/>
    <mergeCell ref="A6:J6"/>
    <mergeCell ref="F8:I8"/>
    <mergeCell ref="C3:F3"/>
    <mergeCell ref="C4:D4"/>
    <mergeCell ref="B8:D8"/>
    <mergeCell ref="N9:O9"/>
    <mergeCell ref="N10:O10"/>
    <mergeCell ref="N11:O11"/>
    <mergeCell ref="N12:O12"/>
    <mergeCell ref="B33:D33"/>
    <mergeCell ref="B29:D29"/>
    <mergeCell ref="F17:I17"/>
    <mergeCell ref="L12:M12"/>
    <mergeCell ref="K14:U14"/>
    <mergeCell ref="F13:I13"/>
    <mergeCell ref="L13:M13"/>
    <mergeCell ref="B11:D11"/>
    <mergeCell ref="Q33:R33"/>
    <mergeCell ref="L11:M11"/>
    <mergeCell ref="B12:D12"/>
    <mergeCell ref="B21:D21"/>
    <mergeCell ref="W45:AB48"/>
    <mergeCell ref="V12:AC12"/>
    <mergeCell ref="Q16:R16"/>
    <mergeCell ref="Q17:R17"/>
    <mergeCell ref="M19:R19"/>
    <mergeCell ref="M24:R24"/>
    <mergeCell ref="Q20:R20"/>
    <mergeCell ref="Q34:R34"/>
    <mergeCell ref="Q35:R35"/>
    <mergeCell ref="Q32:R32"/>
  </mergeCells>
  <conditionalFormatting sqref="D10">
    <cfRule type="expression" dxfId="7" priority="75">
      <formula>D9&lt;&gt;"XD"</formula>
    </cfRule>
  </conditionalFormatting>
  <conditionalFormatting sqref="C10">
    <cfRule type="expression" dxfId="6" priority="74">
      <formula>D9&lt;&gt;"XD"</formula>
    </cfRule>
  </conditionalFormatting>
  <conditionalFormatting sqref="D9">
    <cfRule type="expression" dxfId="5" priority="61">
      <formula>#REF!=XD</formula>
    </cfRule>
  </conditionalFormatting>
  <conditionalFormatting sqref="D10">
    <cfRule type="expression" dxfId="4" priority="71">
      <formula>D9="XD"</formula>
    </cfRule>
  </conditionalFormatting>
  <conditionalFormatting sqref="C9 B10">
    <cfRule type="expression" dxfId="3" priority="72">
      <formula>#REF!=XD</formula>
    </cfRule>
  </conditionalFormatting>
  <conditionalFormatting sqref="N10:O10">
    <cfRule type="expression" dxfId="2" priority="79">
      <formula>#REF!&lt;&gt;"XD"</formula>
    </cfRule>
  </conditionalFormatting>
  <conditionalFormatting sqref="N11:O11">
    <cfRule type="expression" dxfId="1" priority="2">
      <formula>#REF!&lt;&gt;"XD"</formula>
    </cfRule>
  </conditionalFormatting>
  <conditionalFormatting sqref="N12:O12">
    <cfRule type="expression" dxfId="0" priority="1">
      <formula>#REF!&lt;&gt;"XD"</formula>
    </cfRule>
  </conditionalFormatting>
  <dataValidations count="12">
    <dataValidation type="whole" allowBlank="1" showInputMessage="1" showErrorMessage="1" prompt="Enter a stack height between 1 and 60." sqref="D10" xr:uid="{51E4DB1F-C260-48D5-BCD3-E1CBCC8B0F38}">
      <formula1>1</formula1>
      <formula2>60</formula2>
    </dataValidation>
    <dataValidation type="decimal" errorStyle="warning" allowBlank="1" showInputMessage="1" showErrorMessage="1" error="Suggested input is between 0.10' and 1'." prompt="Enter value between 0.25' and 1'." sqref="Z14" xr:uid="{203EC93A-0927-462E-9A63-BF619EB35C02}">
      <formula1>0.1</formula1>
      <formula2>1</formula2>
    </dataValidation>
    <dataValidation type="list" allowBlank="1" showInputMessage="1" showErrorMessage="1" sqref="D35:D37 I18:I20 D31 I30:I32" xr:uid="{7073EFB4-B123-444C-AF9A-003ACE89B206}">
      <formula1>"Yes,No"</formula1>
    </dataValidation>
    <dataValidation type="list" allowBlank="1" showInputMessage="1" showErrorMessage="1" sqref="D13" xr:uid="{4EC6F8CB-9487-4AE0-95C3-F3D10E618701}">
      <formula1>"Non-Traffic,HS-20,HS-25"</formula1>
    </dataValidation>
    <dataValidation type="list" allowBlank="1" showInputMessage="1" showErrorMessage="1" sqref="D14" xr:uid="{9F839DC3-6D5D-4F40-8870-60D22241F1B9}">
      <formula1>"Green Space,Asphalt,Concrete,Gravel,Pervious Pavement"</formula1>
    </dataValidation>
    <dataValidation type="list" allowBlank="1" showInputMessage="1" showErrorMessage="1" sqref="I29" xr:uid="{68D6D316-F8CC-46B7-A540-0F993635F8EE}">
      <formula1>"Tank,Excavation"</formula1>
    </dataValidation>
    <dataValidation type="list" allowBlank="1" showInputMessage="1" showErrorMessage="1" sqref="D34 D30" xr:uid="{76B5591F-D142-46C2-81E0-E2BF7CE73924}">
      <formula1>"N080 Non-Woven Geotextile,M200 Woven Geotextile,SR-18 Microgrid"</formula1>
    </dataValidation>
    <dataValidation type="list" allowBlank="1" showInputMessage="1" showErrorMessage="1" sqref="I27" xr:uid="{A0619CD9-CE4C-417E-8A0C-E6AAE60A42B5}">
      <formula1>"30 mil. PVC,40 mil. PVC,40 mil. LLDPE,Bentomat"</formula1>
    </dataValidation>
    <dataValidation type="list" allowBlank="1" showInputMessage="1" showErrorMessage="1" sqref="I9 I11" xr:uid="{4006E750-C7CD-4E27-A01A-DDA3D00DECC5}">
      <formula1>"Sand,Stone"</formula1>
    </dataValidation>
    <dataValidation type="decimal" errorStyle="warning" allowBlank="1" showInputMessage="1" showErrorMessage="1" error="Suggested input is between 0.25' and 1'." prompt="Enter value between 0.25' and 1'." sqref="Z13" xr:uid="{9D24F054-9382-4C34-B13C-968CCB03B649}">
      <formula1>0.1</formula1>
      <formula2>1</formula2>
    </dataValidation>
    <dataValidation type="list" allowBlank="1" showInputMessage="1" showErrorMessage="1" sqref="Q16:R16" xr:uid="{48C00FE6-95E1-4907-86D3-F8250E518460}">
      <formula1>"Full Storage,Stage Volume"</formula1>
    </dataValidation>
    <dataValidation allowBlank="1" showInputMessage="1" showErrorMessage="1" promptTitle="Port Location" prompt="Inspection Ports should be placed roughly 50' on center." sqref="I24" xr:uid="{3A18D7EA-EC3C-4F1A-A748-FD02CA0AC731}"/>
  </dataValidations>
  <printOptions horizontalCentered="1"/>
  <pageMargins left="0.7" right="0.7" top="0.5" bottom="0.5" header="0.3" footer="0.3"/>
  <pageSetup fitToWidth="0" fitToHeight="0" orientation="portrait" r:id="rId1"/>
  <headerFooter>
    <oddFooter>&amp;C Page &amp;P of &amp;N</oddFooter>
  </headerFooter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9FCF23-2F90-43E5-98B2-F78381766DC9}">
          <x14:formula1>
            <xm:f>'Reference Data'!$A$1:$A$29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6D2A-4373-442A-9CCB-62CDD1B3BA69}">
  <sheetPr codeName="Sheet5">
    <pageSetUpPr fitToPage="1"/>
  </sheetPr>
  <dimension ref="B1:P111"/>
  <sheetViews>
    <sheetView zoomScaleNormal="100" workbookViewId="0">
      <selection activeCell="Q18" sqref="Q18"/>
    </sheetView>
  </sheetViews>
  <sheetFormatPr defaultRowHeight="12.75" x14ac:dyDescent="0.2"/>
  <cols>
    <col min="1" max="1" width="9.140625" style="37"/>
    <col min="2" max="2" width="18" style="37" bestFit="1" customWidth="1"/>
    <col min="3" max="3" width="13.85546875" style="107" bestFit="1" customWidth="1"/>
    <col min="4" max="4" width="5.7109375" style="37" customWidth="1"/>
    <col min="5" max="6" width="8.28515625" style="40" customWidth="1"/>
    <col min="7" max="7" width="5.7109375" style="40" customWidth="1"/>
    <col min="8" max="8" width="8.28515625" style="40" customWidth="1"/>
    <col min="9" max="9" width="9.5703125" style="40" customWidth="1"/>
    <col min="10" max="10" width="8.42578125" style="40" customWidth="1"/>
    <col min="11" max="13" width="8.85546875" style="40" customWidth="1"/>
    <col min="14" max="14" width="5.7109375" style="37" customWidth="1"/>
    <col min="15" max="15" width="9.140625" style="37"/>
    <col min="16" max="16" width="11.28515625" style="37" bestFit="1" customWidth="1"/>
    <col min="17" max="16384" width="9.140625" style="37"/>
  </cols>
  <sheetData>
    <row r="1" spans="2:16" ht="30" customHeight="1" x14ac:dyDescent="0.2">
      <c r="H1" s="254" t="s">
        <v>131</v>
      </c>
      <c r="I1" s="255"/>
      <c r="J1" s="255"/>
      <c r="K1" s="255"/>
      <c r="L1" s="255"/>
      <c r="M1" s="256"/>
      <c r="O1" s="249" t="str">
        <f>F2</f>
        <v>Stage 
Elevation</v>
      </c>
      <c r="P1" s="246" t="s">
        <v>175</v>
      </c>
    </row>
    <row r="2" spans="2:16" ht="20.100000000000001" customHeight="1" x14ac:dyDescent="0.2">
      <c r="E2" s="42"/>
      <c r="F2" s="257" t="s">
        <v>53</v>
      </c>
      <c r="G2" s="109"/>
      <c r="H2" s="132" t="s">
        <v>51</v>
      </c>
      <c r="I2" s="245" t="s">
        <v>54</v>
      </c>
      <c r="J2" s="245" t="s">
        <v>55</v>
      </c>
      <c r="K2" s="245" t="s">
        <v>56</v>
      </c>
      <c r="L2" s="245" t="s">
        <v>171</v>
      </c>
      <c r="M2" s="253" t="s">
        <v>174</v>
      </c>
      <c r="O2" s="250"/>
      <c r="P2" s="247"/>
    </row>
    <row r="3" spans="2:16" x14ac:dyDescent="0.2">
      <c r="B3" s="252" t="s">
        <v>132</v>
      </c>
      <c r="C3" s="252"/>
      <c r="E3" s="42" t="s">
        <v>51</v>
      </c>
      <c r="F3" s="257"/>
      <c r="G3" s="109"/>
      <c r="H3" s="132"/>
      <c r="I3" s="245"/>
      <c r="J3" s="245"/>
      <c r="K3" s="245"/>
      <c r="L3" s="245"/>
      <c r="M3" s="253"/>
      <c r="O3" s="251"/>
      <c r="P3" s="248"/>
    </row>
    <row r="4" spans="2:16" x14ac:dyDescent="0.2">
      <c r="B4" s="108" t="s">
        <v>168</v>
      </c>
      <c r="C4" s="115" t="str">
        <f>Computations!B3</f>
        <v>HD Single</v>
      </c>
      <c r="E4" s="43">
        <f>IF($C$14="no",$C$6,IF($C$15="no",$C$6,$C$5))</f>
        <v>99.75</v>
      </c>
      <c r="F4" s="122">
        <f>E4</f>
        <v>99.75</v>
      </c>
      <c r="G4" s="42"/>
      <c r="H4" s="133">
        <f t="shared" ref="H4:H35" si="0">IF(AND(C$5&gt;E4,C$5&lt;E5),C$5,IF(E4&lt;C$5,"",IF(AND(C$6&lt;E4,C$6&gt;E3),C$6,IF(AND(C$7&lt;E4,C$7&gt;E3),C$7,IF(C$16="yes",IF(E4&lt;C$8,E4,IF(AND(E4&gt;C$8,C$8+C$19&lt;E4),"",C$8)),IF(C$16="no",IF(E4&lt;C$7,E4,IF(AND(E4&gt;C$7,C$7+C$19&lt;E4),"",C$7)),"Error"))))))</f>
        <v>99.75</v>
      </c>
      <c r="I4" s="134">
        <v>0</v>
      </c>
      <c r="J4" s="134">
        <v>0</v>
      </c>
      <c r="K4" s="134">
        <v>0</v>
      </c>
      <c r="L4" s="134">
        <v>0</v>
      </c>
      <c r="M4" s="135">
        <v>0</v>
      </c>
      <c r="O4" s="126">
        <f t="shared" ref="O4:O35" si="1">F4</f>
        <v>99.75</v>
      </c>
      <c r="P4" s="124">
        <v>0</v>
      </c>
    </row>
    <row r="5" spans="2:16" x14ac:dyDescent="0.2">
      <c r="B5" s="37" t="s">
        <v>126</v>
      </c>
      <c r="C5" s="115">
        <f>ROUND(Computations!C23,2)</f>
        <v>99.75</v>
      </c>
      <c r="E5" s="44">
        <f t="shared" ref="E5:E36" si="2">E4+$C$19</f>
        <v>100</v>
      </c>
      <c r="F5" s="121">
        <f>IF(C$16="yes",IF(E5&lt;C$8,E5,IF(AND(E5&gt;C$8,C$8+C$19&lt;E5),"",C$8)),IF(C$16="no",IF(E5&lt;C$7,E5,IF(AND(E5&gt;C$7,C$7+C$19&lt;E5),"",C$7)),"Error"))</f>
        <v>100</v>
      </c>
      <c r="G5" s="42"/>
      <c r="H5" s="133">
        <f t="shared" si="0"/>
        <v>100</v>
      </c>
      <c r="I5" s="134">
        <f>IF(H4="",0,IF(H5&lt;&gt;"",(H5-H4)*C$11,0))</f>
        <v>125</v>
      </c>
      <c r="J5" s="134">
        <f t="shared" ref="J5:J36" si="3">IF($H5&lt;=C$6,0,IF($H5&gt;=C$7+C$19,0,IF(AND($H5&gt;C$6,$H5&lt;=C$6+C$19),($H5-$H4)*C$10,IF(AND($H5&gt;C$6+C$19,$H5&lt;=C$7),($H5-$H4)*C$10,(C$7-H4)*C$10))))</f>
        <v>0</v>
      </c>
      <c r="K5" s="134">
        <f>J5*$C$9</f>
        <v>0</v>
      </c>
      <c r="L5" s="134">
        <f>I5-J5</f>
        <v>125</v>
      </c>
      <c r="M5" s="135">
        <f t="shared" ref="M5:M36" si="4">IF($C$14="yes",L5*$C$17,0)</f>
        <v>50</v>
      </c>
      <c r="O5" s="124">
        <f t="shared" si="1"/>
        <v>100</v>
      </c>
      <c r="P5" s="124">
        <f>IF(O5="","",P4+(K5+M5))</f>
        <v>50</v>
      </c>
    </row>
    <row r="6" spans="2:16" x14ac:dyDescent="0.2">
      <c r="B6" s="37" t="s">
        <v>147</v>
      </c>
      <c r="C6" s="115">
        <f>Computations!C24</f>
        <v>100</v>
      </c>
      <c r="E6" s="44">
        <f t="shared" si="2"/>
        <v>100.25</v>
      </c>
      <c r="F6" s="121">
        <f t="shared" ref="F6:F69" si="5">IF(C$16="yes",IF(E6&lt;C$8,E6,IF(AND(E6&gt;C$8,C$8+C$19&lt;E6),"",C$8)),IF(C$16="no",IF(E6&lt;C$7,E6,IF(AND(E6&gt;C$7,C$7+C$19&lt;E6),"",C$7)),"Error"))</f>
        <v>100.25</v>
      </c>
      <c r="G6" s="42"/>
      <c r="H6" s="133">
        <f t="shared" si="0"/>
        <v>100.25</v>
      </c>
      <c r="I6" s="134">
        <f t="shared" ref="I6:I69" si="6">IF(H5="",0,IF(H6&lt;&gt;"",(H6-H5)*C$11,0))</f>
        <v>125</v>
      </c>
      <c r="J6" s="134">
        <f t="shared" si="3"/>
        <v>99.295000000000002</v>
      </c>
      <c r="K6" s="134">
        <f t="shared" ref="K6:K69" si="7">J6*$C$9</f>
        <v>94.330249999999992</v>
      </c>
      <c r="L6" s="134">
        <f t="shared" ref="L6:L69" si="8">I6-J6</f>
        <v>25.704999999999998</v>
      </c>
      <c r="M6" s="135">
        <f t="shared" si="4"/>
        <v>10.282</v>
      </c>
      <c r="O6" s="124">
        <f t="shared" si="1"/>
        <v>100.25</v>
      </c>
      <c r="P6" s="124">
        <f t="shared" ref="P6:P69" si="9">IF(O6="","",P5+(K6+M6))</f>
        <v>154.61224999999999</v>
      </c>
    </row>
    <row r="7" spans="2:16" x14ac:dyDescent="0.2">
      <c r="B7" s="37" t="s">
        <v>148</v>
      </c>
      <c r="C7" s="115">
        <f>Computations!C25</f>
        <v>101.44333333333333</v>
      </c>
      <c r="E7" s="44">
        <f t="shared" si="2"/>
        <v>100.5</v>
      </c>
      <c r="F7" s="121">
        <f t="shared" si="5"/>
        <v>100.5</v>
      </c>
      <c r="G7" s="42"/>
      <c r="H7" s="133">
        <f t="shared" si="0"/>
        <v>100.5</v>
      </c>
      <c r="I7" s="134">
        <f t="shared" si="6"/>
        <v>125</v>
      </c>
      <c r="J7" s="134">
        <f t="shared" si="3"/>
        <v>99.295000000000002</v>
      </c>
      <c r="K7" s="134">
        <f t="shared" si="7"/>
        <v>94.330249999999992</v>
      </c>
      <c r="L7" s="134">
        <f t="shared" si="8"/>
        <v>25.704999999999998</v>
      </c>
      <c r="M7" s="135">
        <f t="shared" si="4"/>
        <v>10.282</v>
      </c>
      <c r="O7" s="124">
        <f t="shared" si="1"/>
        <v>100.5</v>
      </c>
      <c r="P7" s="124">
        <f t="shared" si="9"/>
        <v>259.22449999999998</v>
      </c>
    </row>
    <row r="8" spans="2:16" x14ac:dyDescent="0.2">
      <c r="B8" s="37" t="s">
        <v>5</v>
      </c>
      <c r="C8" s="115">
        <f>Computations!C26</f>
        <v>102.44333333333333</v>
      </c>
      <c r="E8" s="44">
        <f t="shared" si="2"/>
        <v>100.75</v>
      </c>
      <c r="F8" s="121">
        <f t="shared" si="5"/>
        <v>100.75</v>
      </c>
      <c r="G8" s="42"/>
      <c r="H8" s="133">
        <f t="shared" si="0"/>
        <v>100.75</v>
      </c>
      <c r="I8" s="134">
        <f t="shared" si="6"/>
        <v>125</v>
      </c>
      <c r="J8" s="134">
        <f t="shared" si="3"/>
        <v>99.295000000000002</v>
      </c>
      <c r="K8" s="134">
        <f t="shared" si="7"/>
        <v>94.330249999999992</v>
      </c>
      <c r="L8" s="134">
        <f t="shared" si="8"/>
        <v>25.704999999999998</v>
      </c>
      <c r="M8" s="135">
        <f t="shared" si="4"/>
        <v>10.282</v>
      </c>
      <c r="O8" s="124">
        <f t="shared" si="1"/>
        <v>100.75</v>
      </c>
      <c r="P8" s="124">
        <f t="shared" si="9"/>
        <v>363.83674999999994</v>
      </c>
    </row>
    <row r="9" spans="2:16" x14ac:dyDescent="0.2">
      <c r="B9" s="37" t="s">
        <v>167</v>
      </c>
      <c r="C9" s="116">
        <f>IF(C4="XD",0.9,0.95)</f>
        <v>0.95</v>
      </c>
      <c r="E9" s="44">
        <f t="shared" si="2"/>
        <v>101</v>
      </c>
      <c r="F9" s="121">
        <f t="shared" si="5"/>
        <v>101</v>
      </c>
      <c r="G9" s="42"/>
      <c r="H9" s="133">
        <f t="shared" si="0"/>
        <v>101</v>
      </c>
      <c r="I9" s="134">
        <f t="shared" si="6"/>
        <v>125</v>
      </c>
      <c r="J9" s="134">
        <f t="shared" si="3"/>
        <v>99.295000000000002</v>
      </c>
      <c r="K9" s="134">
        <f t="shared" si="7"/>
        <v>94.330249999999992</v>
      </c>
      <c r="L9" s="134">
        <f t="shared" si="8"/>
        <v>25.704999999999998</v>
      </c>
      <c r="M9" s="135">
        <f t="shared" si="4"/>
        <v>10.282</v>
      </c>
      <c r="O9" s="124">
        <f t="shared" si="1"/>
        <v>101</v>
      </c>
      <c r="P9" s="124">
        <f t="shared" si="9"/>
        <v>468.44899999999996</v>
      </c>
    </row>
    <row r="10" spans="2:16" x14ac:dyDescent="0.2">
      <c r="B10" s="37" t="s">
        <v>169</v>
      </c>
      <c r="C10" s="117">
        <f>Computations!H3</f>
        <v>397.18</v>
      </c>
      <c r="E10" s="44">
        <f t="shared" si="2"/>
        <v>101.25</v>
      </c>
      <c r="F10" s="121">
        <f t="shared" si="5"/>
        <v>101.25</v>
      </c>
      <c r="G10" s="42"/>
      <c r="H10" s="133">
        <f t="shared" si="0"/>
        <v>101.25</v>
      </c>
      <c r="I10" s="134">
        <f t="shared" si="6"/>
        <v>125</v>
      </c>
      <c r="J10" s="134">
        <f t="shared" si="3"/>
        <v>99.295000000000002</v>
      </c>
      <c r="K10" s="134">
        <f t="shared" si="7"/>
        <v>94.330249999999992</v>
      </c>
      <c r="L10" s="134">
        <f t="shared" si="8"/>
        <v>25.704999999999998</v>
      </c>
      <c r="M10" s="135">
        <f t="shared" si="4"/>
        <v>10.282</v>
      </c>
      <c r="O10" s="124">
        <f t="shared" si="1"/>
        <v>101.25</v>
      </c>
      <c r="P10" s="124">
        <f t="shared" si="9"/>
        <v>573.06124999999997</v>
      </c>
    </row>
    <row r="11" spans="2:16" x14ac:dyDescent="0.2">
      <c r="B11" s="37" t="s">
        <v>2</v>
      </c>
      <c r="C11" s="117">
        <f>Computations!D6</f>
        <v>500</v>
      </c>
      <c r="E11" s="44">
        <f t="shared" si="2"/>
        <v>101.5</v>
      </c>
      <c r="F11" s="121">
        <f t="shared" si="5"/>
        <v>101.5</v>
      </c>
      <c r="G11" s="42"/>
      <c r="H11" s="133">
        <f t="shared" si="0"/>
        <v>101.44333333333333</v>
      </c>
      <c r="I11" s="134">
        <f t="shared" si="6"/>
        <v>96.666666666664014</v>
      </c>
      <c r="J11" s="134">
        <f t="shared" si="3"/>
        <v>76.788133333331231</v>
      </c>
      <c r="K11" s="134">
        <f t="shared" si="7"/>
        <v>72.948726666664669</v>
      </c>
      <c r="L11" s="134">
        <f t="shared" si="8"/>
        <v>19.878533333332783</v>
      </c>
      <c r="M11" s="135">
        <f t="shared" si="4"/>
        <v>7.9514133333331136</v>
      </c>
      <c r="O11" s="124">
        <f t="shared" si="1"/>
        <v>101.5</v>
      </c>
      <c r="P11" s="124">
        <f t="shared" si="9"/>
        <v>653.96138999999778</v>
      </c>
    </row>
    <row r="12" spans="2:16" x14ac:dyDescent="0.2">
      <c r="C12" s="116"/>
      <c r="E12" s="44">
        <f t="shared" si="2"/>
        <v>101.75</v>
      </c>
      <c r="F12" s="121">
        <f t="shared" si="5"/>
        <v>101.75</v>
      </c>
      <c r="G12" s="42"/>
      <c r="H12" s="133">
        <f t="shared" si="0"/>
        <v>101.75</v>
      </c>
      <c r="I12" s="134">
        <f t="shared" si="6"/>
        <v>153.33333333333599</v>
      </c>
      <c r="J12" s="134">
        <f t="shared" si="3"/>
        <v>0</v>
      </c>
      <c r="K12" s="134">
        <f t="shared" si="7"/>
        <v>0</v>
      </c>
      <c r="L12" s="134">
        <f t="shared" si="8"/>
        <v>153.33333333333599</v>
      </c>
      <c r="M12" s="135">
        <f t="shared" si="4"/>
        <v>61.333333333334394</v>
      </c>
      <c r="O12" s="124">
        <f t="shared" si="1"/>
        <v>101.75</v>
      </c>
      <c r="P12" s="124">
        <f t="shared" si="9"/>
        <v>715.29472333333217</v>
      </c>
    </row>
    <row r="13" spans="2:16" ht="15" customHeight="1" x14ac:dyDescent="0.2">
      <c r="B13" s="252" t="s">
        <v>98</v>
      </c>
      <c r="C13" s="252"/>
      <c r="E13" s="44">
        <f t="shared" si="2"/>
        <v>102</v>
      </c>
      <c r="F13" s="121">
        <f t="shared" si="5"/>
        <v>102</v>
      </c>
      <c r="G13" s="42"/>
      <c r="H13" s="133">
        <f t="shared" si="0"/>
        <v>102</v>
      </c>
      <c r="I13" s="134">
        <f t="shared" si="6"/>
        <v>125</v>
      </c>
      <c r="J13" s="134">
        <f t="shared" si="3"/>
        <v>0</v>
      </c>
      <c r="K13" s="134">
        <f t="shared" si="7"/>
        <v>0</v>
      </c>
      <c r="L13" s="134">
        <f t="shared" si="8"/>
        <v>125</v>
      </c>
      <c r="M13" s="135">
        <f t="shared" si="4"/>
        <v>50</v>
      </c>
      <c r="O13" s="124">
        <f t="shared" si="1"/>
        <v>102</v>
      </c>
      <c r="P13" s="124">
        <f t="shared" si="9"/>
        <v>765.29472333333217</v>
      </c>
    </row>
    <row r="14" spans="2:16" x14ac:dyDescent="0.2">
      <c r="B14" s="37" t="s">
        <v>101</v>
      </c>
      <c r="C14" s="107" t="str">
        <f>'Design Tool'!I18</f>
        <v>Yes</v>
      </c>
      <c r="E14" s="44">
        <f t="shared" si="2"/>
        <v>102.25</v>
      </c>
      <c r="F14" s="121">
        <f t="shared" si="5"/>
        <v>102.25</v>
      </c>
      <c r="G14" s="42"/>
      <c r="H14" s="133">
        <f t="shared" si="0"/>
        <v>102.25</v>
      </c>
      <c r="I14" s="134">
        <f t="shared" si="6"/>
        <v>125</v>
      </c>
      <c r="J14" s="134">
        <f t="shared" si="3"/>
        <v>0</v>
      </c>
      <c r="K14" s="134">
        <f t="shared" si="7"/>
        <v>0</v>
      </c>
      <c r="L14" s="134">
        <f t="shared" si="8"/>
        <v>125</v>
      </c>
      <c r="M14" s="135">
        <f t="shared" si="4"/>
        <v>50</v>
      </c>
      <c r="O14" s="124">
        <f t="shared" si="1"/>
        <v>102.25</v>
      </c>
      <c r="P14" s="124">
        <f t="shared" si="9"/>
        <v>815.29472333333217</v>
      </c>
    </row>
    <row r="15" spans="2:16" x14ac:dyDescent="0.2">
      <c r="B15" s="37" t="s">
        <v>99</v>
      </c>
      <c r="C15" s="107" t="str">
        <f>'Design Tool'!I19</f>
        <v>Yes</v>
      </c>
      <c r="E15" s="44">
        <f t="shared" si="2"/>
        <v>102.5</v>
      </c>
      <c r="F15" s="121">
        <f t="shared" si="5"/>
        <v>102.44333333333333</v>
      </c>
      <c r="G15" s="42"/>
      <c r="H15" s="133">
        <f t="shared" si="0"/>
        <v>102.44333333333333</v>
      </c>
      <c r="I15" s="134">
        <f t="shared" si="6"/>
        <v>96.666666666664014</v>
      </c>
      <c r="J15" s="134">
        <f t="shared" si="3"/>
        <v>0</v>
      </c>
      <c r="K15" s="134">
        <f t="shared" si="7"/>
        <v>0</v>
      </c>
      <c r="L15" s="134">
        <f t="shared" si="8"/>
        <v>96.666666666664014</v>
      </c>
      <c r="M15" s="135">
        <f t="shared" si="4"/>
        <v>38.666666666665606</v>
      </c>
      <c r="O15" s="124">
        <f t="shared" si="1"/>
        <v>102.44333333333333</v>
      </c>
      <c r="P15" s="124">
        <f t="shared" si="9"/>
        <v>853.96138999999778</v>
      </c>
    </row>
    <row r="16" spans="2:16" x14ac:dyDescent="0.2">
      <c r="B16" s="37" t="s">
        <v>100</v>
      </c>
      <c r="C16" s="107" t="str">
        <f>'Design Tool'!I20</f>
        <v>Yes</v>
      </c>
      <c r="E16" s="44">
        <f t="shared" si="2"/>
        <v>102.75</v>
      </c>
      <c r="F16" s="121" t="str">
        <f t="shared" si="5"/>
        <v/>
      </c>
      <c r="G16" s="42"/>
      <c r="H16" s="133" t="str">
        <f t="shared" si="0"/>
        <v/>
      </c>
      <c r="I16" s="134">
        <f t="shared" si="6"/>
        <v>0</v>
      </c>
      <c r="J16" s="134">
        <f t="shared" si="3"/>
        <v>0</v>
      </c>
      <c r="K16" s="134">
        <f t="shared" si="7"/>
        <v>0</v>
      </c>
      <c r="L16" s="134">
        <f t="shared" si="8"/>
        <v>0</v>
      </c>
      <c r="M16" s="135">
        <f t="shared" si="4"/>
        <v>0</v>
      </c>
      <c r="O16" s="124" t="str">
        <f t="shared" si="1"/>
        <v/>
      </c>
      <c r="P16" s="124" t="str">
        <f t="shared" si="9"/>
        <v/>
      </c>
    </row>
    <row r="17" spans="2:16" x14ac:dyDescent="0.2">
      <c r="B17" s="37" t="s">
        <v>102</v>
      </c>
      <c r="C17" s="116">
        <f>'Design Tool'!I21</f>
        <v>0.4</v>
      </c>
      <c r="E17" s="44">
        <f t="shared" si="2"/>
        <v>103</v>
      </c>
      <c r="F17" s="121" t="str">
        <f t="shared" si="5"/>
        <v/>
      </c>
      <c r="G17" s="42"/>
      <c r="H17" s="133" t="str">
        <f t="shared" si="0"/>
        <v/>
      </c>
      <c r="I17" s="134">
        <f t="shared" si="6"/>
        <v>0</v>
      </c>
      <c r="J17" s="134">
        <f t="shared" si="3"/>
        <v>0</v>
      </c>
      <c r="K17" s="134">
        <f t="shared" si="7"/>
        <v>0</v>
      </c>
      <c r="L17" s="134">
        <f t="shared" si="8"/>
        <v>0</v>
      </c>
      <c r="M17" s="135">
        <f t="shared" si="4"/>
        <v>0</v>
      </c>
      <c r="O17" s="124" t="str">
        <f t="shared" si="1"/>
        <v/>
      </c>
      <c r="P17" s="124" t="str">
        <f t="shared" si="9"/>
        <v/>
      </c>
    </row>
    <row r="18" spans="2:16" x14ac:dyDescent="0.2">
      <c r="E18" s="44">
        <f t="shared" si="2"/>
        <v>103.25</v>
      </c>
      <c r="F18" s="121" t="str">
        <f t="shared" si="5"/>
        <v/>
      </c>
      <c r="G18" s="42"/>
      <c r="H18" s="133" t="str">
        <f t="shared" si="0"/>
        <v/>
      </c>
      <c r="I18" s="134">
        <f t="shared" si="6"/>
        <v>0</v>
      </c>
      <c r="J18" s="134">
        <f t="shared" si="3"/>
        <v>0</v>
      </c>
      <c r="K18" s="134">
        <f t="shared" si="7"/>
        <v>0</v>
      </c>
      <c r="L18" s="134">
        <f t="shared" si="8"/>
        <v>0</v>
      </c>
      <c r="M18" s="135">
        <f t="shared" si="4"/>
        <v>0</v>
      </c>
      <c r="O18" s="124" t="str">
        <f t="shared" si="1"/>
        <v/>
      </c>
      <c r="P18" s="124" t="str">
        <f t="shared" si="9"/>
        <v/>
      </c>
    </row>
    <row r="19" spans="2:16" x14ac:dyDescent="0.2">
      <c r="B19" s="37" t="s">
        <v>173</v>
      </c>
      <c r="C19" s="107">
        <f>'Design Tool'!Z13</f>
        <v>0.25</v>
      </c>
      <c r="E19" s="44">
        <f t="shared" si="2"/>
        <v>103.5</v>
      </c>
      <c r="F19" s="121" t="str">
        <f t="shared" si="5"/>
        <v/>
      </c>
      <c r="G19" s="42"/>
      <c r="H19" s="133" t="str">
        <f t="shared" si="0"/>
        <v/>
      </c>
      <c r="I19" s="134">
        <f t="shared" si="6"/>
        <v>0</v>
      </c>
      <c r="J19" s="134">
        <f t="shared" si="3"/>
        <v>0</v>
      </c>
      <c r="K19" s="134">
        <f t="shared" si="7"/>
        <v>0</v>
      </c>
      <c r="L19" s="134">
        <f t="shared" si="8"/>
        <v>0</v>
      </c>
      <c r="M19" s="135">
        <f t="shared" si="4"/>
        <v>0</v>
      </c>
      <c r="O19" s="124" t="str">
        <f t="shared" si="1"/>
        <v/>
      </c>
      <c r="P19" s="124" t="str">
        <f t="shared" si="9"/>
        <v/>
      </c>
    </row>
    <row r="20" spans="2:16" x14ac:dyDescent="0.2">
      <c r="E20" s="44">
        <f t="shared" si="2"/>
        <v>103.75</v>
      </c>
      <c r="F20" s="121" t="str">
        <f t="shared" si="5"/>
        <v/>
      </c>
      <c r="G20" s="42"/>
      <c r="H20" s="133" t="str">
        <f t="shared" si="0"/>
        <v/>
      </c>
      <c r="I20" s="134">
        <f t="shared" si="6"/>
        <v>0</v>
      </c>
      <c r="J20" s="134">
        <f t="shared" si="3"/>
        <v>0</v>
      </c>
      <c r="K20" s="134">
        <f t="shared" si="7"/>
        <v>0</v>
      </c>
      <c r="L20" s="134">
        <f t="shared" si="8"/>
        <v>0</v>
      </c>
      <c r="M20" s="135">
        <f t="shared" si="4"/>
        <v>0</v>
      </c>
      <c r="O20" s="124" t="str">
        <f t="shared" si="1"/>
        <v/>
      </c>
      <c r="P20" s="124" t="str">
        <f t="shared" si="9"/>
        <v/>
      </c>
    </row>
    <row r="21" spans="2:16" x14ac:dyDescent="0.2">
      <c r="B21" s="38"/>
      <c r="C21" s="115"/>
      <c r="E21" s="44">
        <f t="shared" si="2"/>
        <v>104</v>
      </c>
      <c r="F21" s="121" t="str">
        <f t="shared" si="5"/>
        <v/>
      </c>
      <c r="G21" s="42"/>
      <c r="H21" s="133" t="str">
        <f t="shared" si="0"/>
        <v/>
      </c>
      <c r="I21" s="134">
        <f t="shared" si="6"/>
        <v>0</v>
      </c>
      <c r="J21" s="134">
        <f t="shared" si="3"/>
        <v>0</v>
      </c>
      <c r="K21" s="134">
        <f t="shared" si="7"/>
        <v>0</v>
      </c>
      <c r="L21" s="134">
        <f t="shared" si="8"/>
        <v>0</v>
      </c>
      <c r="M21" s="135">
        <f t="shared" si="4"/>
        <v>0</v>
      </c>
      <c r="O21" s="124" t="str">
        <f t="shared" si="1"/>
        <v/>
      </c>
      <c r="P21" s="124" t="str">
        <f t="shared" si="9"/>
        <v/>
      </c>
    </row>
    <row r="22" spans="2:16" x14ac:dyDescent="0.2">
      <c r="E22" s="44">
        <f t="shared" si="2"/>
        <v>104.25</v>
      </c>
      <c r="F22" s="121" t="str">
        <f t="shared" si="5"/>
        <v/>
      </c>
      <c r="G22" s="42"/>
      <c r="H22" s="133" t="str">
        <f t="shared" si="0"/>
        <v/>
      </c>
      <c r="I22" s="134">
        <f t="shared" si="6"/>
        <v>0</v>
      </c>
      <c r="J22" s="134">
        <f t="shared" si="3"/>
        <v>0</v>
      </c>
      <c r="K22" s="134">
        <f t="shared" si="7"/>
        <v>0</v>
      </c>
      <c r="L22" s="134">
        <f t="shared" si="8"/>
        <v>0</v>
      </c>
      <c r="M22" s="135">
        <f t="shared" si="4"/>
        <v>0</v>
      </c>
      <c r="O22" s="124" t="str">
        <f t="shared" si="1"/>
        <v/>
      </c>
      <c r="P22" s="124" t="str">
        <f t="shared" si="9"/>
        <v/>
      </c>
    </row>
    <row r="23" spans="2:16" ht="12.75" customHeight="1" x14ac:dyDescent="0.2">
      <c r="E23" s="44">
        <f t="shared" si="2"/>
        <v>104.5</v>
      </c>
      <c r="F23" s="121" t="str">
        <f t="shared" si="5"/>
        <v/>
      </c>
      <c r="G23" s="42"/>
      <c r="H23" s="133" t="str">
        <f t="shared" si="0"/>
        <v/>
      </c>
      <c r="I23" s="134">
        <f t="shared" si="6"/>
        <v>0</v>
      </c>
      <c r="J23" s="134">
        <f t="shared" si="3"/>
        <v>0</v>
      </c>
      <c r="K23" s="134">
        <f t="shared" si="7"/>
        <v>0</v>
      </c>
      <c r="L23" s="134">
        <f t="shared" si="8"/>
        <v>0</v>
      </c>
      <c r="M23" s="135">
        <f t="shared" si="4"/>
        <v>0</v>
      </c>
      <c r="O23" s="124" t="str">
        <f t="shared" si="1"/>
        <v/>
      </c>
      <c r="P23" s="124" t="str">
        <f t="shared" si="9"/>
        <v/>
      </c>
    </row>
    <row r="24" spans="2:16" x14ac:dyDescent="0.2">
      <c r="E24" s="44">
        <f t="shared" si="2"/>
        <v>104.75</v>
      </c>
      <c r="F24" s="121" t="str">
        <f t="shared" si="5"/>
        <v/>
      </c>
      <c r="G24" s="42"/>
      <c r="H24" s="133" t="str">
        <f t="shared" si="0"/>
        <v/>
      </c>
      <c r="I24" s="134">
        <f t="shared" si="6"/>
        <v>0</v>
      </c>
      <c r="J24" s="134">
        <f t="shared" si="3"/>
        <v>0</v>
      </c>
      <c r="K24" s="134">
        <f t="shared" si="7"/>
        <v>0</v>
      </c>
      <c r="L24" s="134">
        <f t="shared" si="8"/>
        <v>0</v>
      </c>
      <c r="M24" s="135">
        <f t="shared" si="4"/>
        <v>0</v>
      </c>
      <c r="O24" s="124" t="str">
        <f t="shared" si="1"/>
        <v/>
      </c>
      <c r="P24" s="124" t="str">
        <f t="shared" si="9"/>
        <v/>
      </c>
    </row>
    <row r="25" spans="2:16" x14ac:dyDescent="0.2">
      <c r="E25" s="44">
        <f t="shared" si="2"/>
        <v>105</v>
      </c>
      <c r="F25" s="121" t="str">
        <f t="shared" si="5"/>
        <v/>
      </c>
      <c r="G25" s="42"/>
      <c r="H25" s="133" t="str">
        <f t="shared" si="0"/>
        <v/>
      </c>
      <c r="I25" s="134">
        <f t="shared" si="6"/>
        <v>0</v>
      </c>
      <c r="J25" s="134">
        <f t="shared" si="3"/>
        <v>0</v>
      </c>
      <c r="K25" s="134">
        <f t="shared" si="7"/>
        <v>0</v>
      </c>
      <c r="L25" s="134">
        <f t="shared" si="8"/>
        <v>0</v>
      </c>
      <c r="M25" s="135">
        <f t="shared" si="4"/>
        <v>0</v>
      </c>
      <c r="O25" s="124" t="str">
        <f t="shared" si="1"/>
        <v/>
      </c>
      <c r="P25" s="124" t="str">
        <f t="shared" si="9"/>
        <v/>
      </c>
    </row>
    <row r="26" spans="2:16" x14ac:dyDescent="0.2">
      <c r="E26" s="44">
        <f t="shared" si="2"/>
        <v>105.25</v>
      </c>
      <c r="F26" s="121" t="str">
        <f t="shared" si="5"/>
        <v/>
      </c>
      <c r="G26" s="42"/>
      <c r="H26" s="133" t="str">
        <f t="shared" si="0"/>
        <v/>
      </c>
      <c r="I26" s="134">
        <f t="shared" si="6"/>
        <v>0</v>
      </c>
      <c r="J26" s="134">
        <f t="shared" si="3"/>
        <v>0</v>
      </c>
      <c r="K26" s="134">
        <f t="shared" si="7"/>
        <v>0</v>
      </c>
      <c r="L26" s="134">
        <f t="shared" si="8"/>
        <v>0</v>
      </c>
      <c r="M26" s="135">
        <f t="shared" si="4"/>
        <v>0</v>
      </c>
      <c r="O26" s="124" t="str">
        <f t="shared" si="1"/>
        <v/>
      </c>
      <c r="P26" s="124" t="str">
        <f t="shared" si="9"/>
        <v/>
      </c>
    </row>
    <row r="27" spans="2:16" x14ac:dyDescent="0.2">
      <c r="E27" s="44">
        <f t="shared" si="2"/>
        <v>105.5</v>
      </c>
      <c r="F27" s="121" t="str">
        <f t="shared" si="5"/>
        <v/>
      </c>
      <c r="G27" s="42"/>
      <c r="H27" s="133" t="str">
        <f t="shared" si="0"/>
        <v/>
      </c>
      <c r="I27" s="134">
        <f t="shared" si="6"/>
        <v>0</v>
      </c>
      <c r="J27" s="134">
        <f t="shared" si="3"/>
        <v>0</v>
      </c>
      <c r="K27" s="134">
        <f t="shared" si="7"/>
        <v>0</v>
      </c>
      <c r="L27" s="134">
        <f t="shared" si="8"/>
        <v>0</v>
      </c>
      <c r="M27" s="135">
        <f t="shared" si="4"/>
        <v>0</v>
      </c>
      <c r="O27" s="124" t="str">
        <f t="shared" si="1"/>
        <v/>
      </c>
      <c r="P27" s="124" t="str">
        <f t="shared" si="9"/>
        <v/>
      </c>
    </row>
    <row r="28" spans="2:16" x14ac:dyDescent="0.2">
      <c r="E28" s="44">
        <f t="shared" si="2"/>
        <v>105.75</v>
      </c>
      <c r="F28" s="121" t="str">
        <f t="shared" si="5"/>
        <v/>
      </c>
      <c r="G28" s="42"/>
      <c r="H28" s="133" t="str">
        <f t="shared" si="0"/>
        <v/>
      </c>
      <c r="I28" s="134">
        <f t="shared" si="6"/>
        <v>0</v>
      </c>
      <c r="J28" s="134">
        <f t="shared" si="3"/>
        <v>0</v>
      </c>
      <c r="K28" s="134">
        <f t="shared" si="7"/>
        <v>0</v>
      </c>
      <c r="L28" s="134">
        <f t="shared" si="8"/>
        <v>0</v>
      </c>
      <c r="M28" s="135">
        <f t="shared" si="4"/>
        <v>0</v>
      </c>
      <c r="O28" s="124" t="str">
        <f t="shared" si="1"/>
        <v/>
      </c>
      <c r="P28" s="124" t="str">
        <f t="shared" si="9"/>
        <v/>
      </c>
    </row>
    <row r="29" spans="2:16" x14ac:dyDescent="0.2">
      <c r="E29" s="44">
        <f t="shared" si="2"/>
        <v>106</v>
      </c>
      <c r="F29" s="121" t="str">
        <f t="shared" si="5"/>
        <v/>
      </c>
      <c r="G29" s="42"/>
      <c r="H29" s="133" t="str">
        <f t="shared" si="0"/>
        <v/>
      </c>
      <c r="I29" s="134">
        <f t="shared" si="6"/>
        <v>0</v>
      </c>
      <c r="J29" s="134">
        <f t="shared" si="3"/>
        <v>0</v>
      </c>
      <c r="K29" s="134">
        <f t="shared" si="7"/>
        <v>0</v>
      </c>
      <c r="L29" s="134">
        <f t="shared" si="8"/>
        <v>0</v>
      </c>
      <c r="M29" s="135">
        <f t="shared" si="4"/>
        <v>0</v>
      </c>
      <c r="O29" s="124" t="str">
        <f t="shared" si="1"/>
        <v/>
      </c>
      <c r="P29" s="124" t="str">
        <f t="shared" si="9"/>
        <v/>
      </c>
    </row>
    <row r="30" spans="2:16" x14ac:dyDescent="0.2">
      <c r="E30" s="44">
        <f t="shared" si="2"/>
        <v>106.25</v>
      </c>
      <c r="F30" s="121" t="str">
        <f t="shared" si="5"/>
        <v/>
      </c>
      <c r="G30" s="42"/>
      <c r="H30" s="133" t="str">
        <f t="shared" si="0"/>
        <v/>
      </c>
      <c r="I30" s="134">
        <f t="shared" si="6"/>
        <v>0</v>
      </c>
      <c r="J30" s="134">
        <f t="shared" si="3"/>
        <v>0</v>
      </c>
      <c r="K30" s="134">
        <f t="shared" si="7"/>
        <v>0</v>
      </c>
      <c r="L30" s="134">
        <f t="shared" si="8"/>
        <v>0</v>
      </c>
      <c r="M30" s="135">
        <f t="shared" si="4"/>
        <v>0</v>
      </c>
      <c r="O30" s="124" t="str">
        <f t="shared" si="1"/>
        <v/>
      </c>
      <c r="P30" s="124" t="str">
        <f t="shared" si="9"/>
        <v/>
      </c>
    </row>
    <row r="31" spans="2:16" x14ac:dyDescent="0.2">
      <c r="E31" s="44">
        <f t="shared" si="2"/>
        <v>106.5</v>
      </c>
      <c r="F31" s="121" t="str">
        <f t="shared" si="5"/>
        <v/>
      </c>
      <c r="G31" s="42"/>
      <c r="H31" s="133" t="str">
        <f t="shared" si="0"/>
        <v/>
      </c>
      <c r="I31" s="134">
        <f t="shared" si="6"/>
        <v>0</v>
      </c>
      <c r="J31" s="134">
        <f t="shared" si="3"/>
        <v>0</v>
      </c>
      <c r="K31" s="134">
        <f t="shared" si="7"/>
        <v>0</v>
      </c>
      <c r="L31" s="134">
        <f t="shared" si="8"/>
        <v>0</v>
      </c>
      <c r="M31" s="135">
        <f t="shared" si="4"/>
        <v>0</v>
      </c>
      <c r="O31" s="124" t="str">
        <f t="shared" si="1"/>
        <v/>
      </c>
      <c r="P31" s="124" t="str">
        <f t="shared" si="9"/>
        <v/>
      </c>
    </row>
    <row r="32" spans="2:16" x14ac:dyDescent="0.2">
      <c r="E32" s="44">
        <f t="shared" si="2"/>
        <v>106.75</v>
      </c>
      <c r="F32" s="121" t="str">
        <f t="shared" si="5"/>
        <v/>
      </c>
      <c r="G32" s="42"/>
      <c r="H32" s="133" t="str">
        <f t="shared" si="0"/>
        <v/>
      </c>
      <c r="I32" s="134">
        <f t="shared" si="6"/>
        <v>0</v>
      </c>
      <c r="J32" s="134">
        <f t="shared" si="3"/>
        <v>0</v>
      </c>
      <c r="K32" s="134">
        <f t="shared" si="7"/>
        <v>0</v>
      </c>
      <c r="L32" s="134">
        <f t="shared" si="8"/>
        <v>0</v>
      </c>
      <c r="M32" s="135">
        <f t="shared" si="4"/>
        <v>0</v>
      </c>
      <c r="O32" s="124" t="str">
        <f t="shared" si="1"/>
        <v/>
      </c>
      <c r="P32" s="124" t="str">
        <f t="shared" si="9"/>
        <v/>
      </c>
    </row>
    <row r="33" spans="5:16" x14ac:dyDescent="0.2">
      <c r="E33" s="44">
        <f t="shared" si="2"/>
        <v>107</v>
      </c>
      <c r="F33" s="121" t="str">
        <f t="shared" si="5"/>
        <v/>
      </c>
      <c r="G33" s="42"/>
      <c r="H33" s="133" t="str">
        <f t="shared" si="0"/>
        <v/>
      </c>
      <c r="I33" s="134">
        <f t="shared" si="6"/>
        <v>0</v>
      </c>
      <c r="J33" s="134">
        <f t="shared" si="3"/>
        <v>0</v>
      </c>
      <c r="K33" s="134">
        <f t="shared" si="7"/>
        <v>0</v>
      </c>
      <c r="L33" s="134">
        <f t="shared" si="8"/>
        <v>0</v>
      </c>
      <c r="M33" s="135">
        <f t="shared" si="4"/>
        <v>0</v>
      </c>
      <c r="O33" s="124" t="str">
        <f t="shared" si="1"/>
        <v/>
      </c>
      <c r="P33" s="124" t="str">
        <f t="shared" si="9"/>
        <v/>
      </c>
    </row>
    <row r="34" spans="5:16" x14ac:dyDescent="0.2">
      <c r="E34" s="44">
        <f t="shared" si="2"/>
        <v>107.25</v>
      </c>
      <c r="F34" s="121" t="str">
        <f t="shared" si="5"/>
        <v/>
      </c>
      <c r="G34" s="42"/>
      <c r="H34" s="133" t="str">
        <f t="shared" si="0"/>
        <v/>
      </c>
      <c r="I34" s="134">
        <f t="shared" si="6"/>
        <v>0</v>
      </c>
      <c r="J34" s="134">
        <f t="shared" si="3"/>
        <v>0</v>
      </c>
      <c r="K34" s="134">
        <f t="shared" si="7"/>
        <v>0</v>
      </c>
      <c r="L34" s="134">
        <f t="shared" si="8"/>
        <v>0</v>
      </c>
      <c r="M34" s="135">
        <f t="shared" si="4"/>
        <v>0</v>
      </c>
      <c r="O34" s="124" t="str">
        <f t="shared" si="1"/>
        <v/>
      </c>
      <c r="P34" s="124" t="str">
        <f t="shared" si="9"/>
        <v/>
      </c>
    </row>
    <row r="35" spans="5:16" x14ac:dyDescent="0.2">
      <c r="E35" s="44">
        <f t="shared" si="2"/>
        <v>107.5</v>
      </c>
      <c r="F35" s="121" t="str">
        <f t="shared" si="5"/>
        <v/>
      </c>
      <c r="G35" s="42"/>
      <c r="H35" s="133" t="str">
        <f t="shared" si="0"/>
        <v/>
      </c>
      <c r="I35" s="134">
        <f t="shared" si="6"/>
        <v>0</v>
      </c>
      <c r="J35" s="134">
        <f t="shared" si="3"/>
        <v>0</v>
      </c>
      <c r="K35" s="134">
        <f t="shared" si="7"/>
        <v>0</v>
      </c>
      <c r="L35" s="134">
        <f t="shared" si="8"/>
        <v>0</v>
      </c>
      <c r="M35" s="135">
        <f t="shared" si="4"/>
        <v>0</v>
      </c>
      <c r="O35" s="124" t="str">
        <f t="shared" si="1"/>
        <v/>
      </c>
      <c r="P35" s="124" t="str">
        <f t="shared" si="9"/>
        <v/>
      </c>
    </row>
    <row r="36" spans="5:16" x14ac:dyDescent="0.2">
      <c r="E36" s="44">
        <f t="shared" si="2"/>
        <v>107.75</v>
      </c>
      <c r="F36" s="121" t="str">
        <f t="shared" si="5"/>
        <v/>
      </c>
      <c r="G36" s="42"/>
      <c r="H36" s="133" t="str">
        <f t="shared" ref="H36:H67" si="10">IF(AND(C$5&gt;E36,C$5&lt;E37),C$5,IF(E36&lt;C$5,"",IF(AND(C$6&lt;E36,C$6&gt;E35),C$6,IF(AND(C$7&lt;E36,C$7&gt;E35),C$7,IF(C$16="yes",IF(E36&lt;C$8,E36,IF(AND(E36&gt;C$8,C$8+C$19&lt;E36),"",C$8)),IF(C$16="no",IF(E36&lt;C$7,E36,IF(AND(E36&gt;C$7,C$7+C$19&lt;E36),"",C$7)),"Error"))))))</f>
        <v/>
      </c>
      <c r="I36" s="134">
        <f t="shared" si="6"/>
        <v>0</v>
      </c>
      <c r="J36" s="134">
        <f t="shared" si="3"/>
        <v>0</v>
      </c>
      <c r="K36" s="134">
        <f t="shared" si="7"/>
        <v>0</v>
      </c>
      <c r="L36" s="134">
        <f t="shared" si="8"/>
        <v>0</v>
      </c>
      <c r="M36" s="135">
        <f t="shared" si="4"/>
        <v>0</v>
      </c>
      <c r="O36" s="124" t="str">
        <f t="shared" ref="O36:O67" si="11">F36</f>
        <v/>
      </c>
      <c r="P36" s="124" t="str">
        <f t="shared" si="9"/>
        <v/>
      </c>
    </row>
    <row r="37" spans="5:16" x14ac:dyDescent="0.2">
      <c r="E37" s="44">
        <f t="shared" ref="E37:E68" si="12">E36+$C$19</f>
        <v>108</v>
      </c>
      <c r="F37" s="121" t="str">
        <f t="shared" si="5"/>
        <v/>
      </c>
      <c r="G37" s="42"/>
      <c r="H37" s="133" t="str">
        <f t="shared" si="10"/>
        <v/>
      </c>
      <c r="I37" s="134">
        <f t="shared" si="6"/>
        <v>0</v>
      </c>
      <c r="J37" s="134">
        <f t="shared" ref="J37:J68" si="13">IF($H37&lt;=C$6,0,IF($H37&gt;=C$7+C$19,0,IF(AND($H37&gt;C$6,$H37&lt;=C$6+C$19),($H37-$H36)*C$10,IF(AND($H37&gt;C$6+C$19,$H37&lt;=C$7),($H37-$H36)*C$10,(C$7-H36)*C$10))))</f>
        <v>0</v>
      </c>
      <c r="K37" s="134">
        <f t="shared" si="7"/>
        <v>0</v>
      </c>
      <c r="L37" s="134">
        <f t="shared" si="8"/>
        <v>0</v>
      </c>
      <c r="M37" s="135">
        <f t="shared" ref="M37:M68" si="14">IF($C$14="yes",L37*$C$17,0)</f>
        <v>0</v>
      </c>
      <c r="O37" s="124" t="str">
        <f t="shared" si="11"/>
        <v/>
      </c>
      <c r="P37" s="124" t="str">
        <f t="shared" si="9"/>
        <v/>
      </c>
    </row>
    <row r="38" spans="5:16" x14ac:dyDescent="0.2">
      <c r="E38" s="44">
        <f t="shared" si="12"/>
        <v>108.25</v>
      </c>
      <c r="F38" s="121" t="str">
        <f t="shared" si="5"/>
        <v/>
      </c>
      <c r="G38" s="42"/>
      <c r="H38" s="133" t="str">
        <f t="shared" si="10"/>
        <v/>
      </c>
      <c r="I38" s="134">
        <f t="shared" si="6"/>
        <v>0</v>
      </c>
      <c r="J38" s="134">
        <f t="shared" si="13"/>
        <v>0</v>
      </c>
      <c r="K38" s="134">
        <f t="shared" si="7"/>
        <v>0</v>
      </c>
      <c r="L38" s="134">
        <f t="shared" si="8"/>
        <v>0</v>
      </c>
      <c r="M38" s="135">
        <f t="shared" si="14"/>
        <v>0</v>
      </c>
      <c r="O38" s="124" t="str">
        <f t="shared" si="11"/>
        <v/>
      </c>
      <c r="P38" s="124" t="str">
        <f t="shared" si="9"/>
        <v/>
      </c>
    </row>
    <row r="39" spans="5:16" x14ac:dyDescent="0.2">
      <c r="E39" s="44">
        <f t="shared" si="12"/>
        <v>108.5</v>
      </c>
      <c r="F39" s="121" t="str">
        <f t="shared" si="5"/>
        <v/>
      </c>
      <c r="G39" s="42"/>
      <c r="H39" s="133" t="str">
        <f t="shared" si="10"/>
        <v/>
      </c>
      <c r="I39" s="134">
        <f t="shared" si="6"/>
        <v>0</v>
      </c>
      <c r="J39" s="134">
        <f t="shared" si="13"/>
        <v>0</v>
      </c>
      <c r="K39" s="134">
        <f t="shared" si="7"/>
        <v>0</v>
      </c>
      <c r="L39" s="134">
        <f t="shared" si="8"/>
        <v>0</v>
      </c>
      <c r="M39" s="135">
        <f t="shared" si="14"/>
        <v>0</v>
      </c>
      <c r="O39" s="124" t="str">
        <f t="shared" si="11"/>
        <v/>
      </c>
      <c r="P39" s="124" t="str">
        <f t="shared" si="9"/>
        <v/>
      </c>
    </row>
    <row r="40" spans="5:16" x14ac:dyDescent="0.2">
      <c r="E40" s="44">
        <f t="shared" si="12"/>
        <v>108.75</v>
      </c>
      <c r="F40" s="121" t="str">
        <f t="shared" si="5"/>
        <v/>
      </c>
      <c r="G40" s="42"/>
      <c r="H40" s="133" t="str">
        <f t="shared" si="10"/>
        <v/>
      </c>
      <c r="I40" s="134">
        <f t="shared" si="6"/>
        <v>0</v>
      </c>
      <c r="J40" s="134">
        <f t="shared" si="13"/>
        <v>0</v>
      </c>
      <c r="K40" s="134">
        <f t="shared" si="7"/>
        <v>0</v>
      </c>
      <c r="L40" s="134">
        <f t="shared" si="8"/>
        <v>0</v>
      </c>
      <c r="M40" s="135">
        <f t="shared" si="14"/>
        <v>0</v>
      </c>
      <c r="O40" s="124" t="str">
        <f t="shared" si="11"/>
        <v/>
      </c>
      <c r="P40" s="124" t="str">
        <f t="shared" si="9"/>
        <v/>
      </c>
    </row>
    <row r="41" spans="5:16" x14ac:dyDescent="0.2">
      <c r="E41" s="44">
        <f t="shared" si="12"/>
        <v>109</v>
      </c>
      <c r="F41" s="121" t="str">
        <f t="shared" si="5"/>
        <v/>
      </c>
      <c r="G41" s="42"/>
      <c r="H41" s="133" t="str">
        <f t="shared" si="10"/>
        <v/>
      </c>
      <c r="I41" s="134">
        <f t="shared" si="6"/>
        <v>0</v>
      </c>
      <c r="J41" s="134">
        <f t="shared" si="13"/>
        <v>0</v>
      </c>
      <c r="K41" s="134">
        <f t="shared" si="7"/>
        <v>0</v>
      </c>
      <c r="L41" s="134">
        <f t="shared" si="8"/>
        <v>0</v>
      </c>
      <c r="M41" s="135">
        <f t="shared" si="14"/>
        <v>0</v>
      </c>
      <c r="O41" s="124" t="str">
        <f t="shared" si="11"/>
        <v/>
      </c>
      <c r="P41" s="124" t="str">
        <f t="shared" si="9"/>
        <v/>
      </c>
    </row>
    <row r="42" spans="5:16" x14ac:dyDescent="0.2">
      <c r="E42" s="44">
        <f t="shared" si="12"/>
        <v>109.25</v>
      </c>
      <c r="F42" s="121" t="str">
        <f t="shared" si="5"/>
        <v/>
      </c>
      <c r="G42" s="42"/>
      <c r="H42" s="133" t="str">
        <f t="shared" si="10"/>
        <v/>
      </c>
      <c r="I42" s="134">
        <f t="shared" si="6"/>
        <v>0</v>
      </c>
      <c r="J42" s="134">
        <f t="shared" si="13"/>
        <v>0</v>
      </c>
      <c r="K42" s="134">
        <f t="shared" si="7"/>
        <v>0</v>
      </c>
      <c r="L42" s="134">
        <f t="shared" si="8"/>
        <v>0</v>
      </c>
      <c r="M42" s="135">
        <f t="shared" si="14"/>
        <v>0</v>
      </c>
      <c r="O42" s="124" t="str">
        <f t="shared" si="11"/>
        <v/>
      </c>
      <c r="P42" s="124" t="str">
        <f t="shared" si="9"/>
        <v/>
      </c>
    </row>
    <row r="43" spans="5:16" x14ac:dyDescent="0.2">
      <c r="E43" s="44">
        <f t="shared" si="12"/>
        <v>109.5</v>
      </c>
      <c r="F43" s="121" t="str">
        <f t="shared" si="5"/>
        <v/>
      </c>
      <c r="G43" s="42"/>
      <c r="H43" s="133" t="str">
        <f t="shared" si="10"/>
        <v/>
      </c>
      <c r="I43" s="134">
        <f t="shared" si="6"/>
        <v>0</v>
      </c>
      <c r="J43" s="134">
        <f t="shared" si="13"/>
        <v>0</v>
      </c>
      <c r="K43" s="134">
        <f t="shared" si="7"/>
        <v>0</v>
      </c>
      <c r="L43" s="134">
        <f t="shared" si="8"/>
        <v>0</v>
      </c>
      <c r="M43" s="135">
        <f t="shared" si="14"/>
        <v>0</v>
      </c>
      <c r="O43" s="124" t="str">
        <f t="shared" si="11"/>
        <v/>
      </c>
      <c r="P43" s="124" t="str">
        <f t="shared" si="9"/>
        <v/>
      </c>
    </row>
    <row r="44" spans="5:16" x14ac:dyDescent="0.2">
      <c r="E44" s="44">
        <f t="shared" si="12"/>
        <v>109.75</v>
      </c>
      <c r="F44" s="121" t="str">
        <f t="shared" si="5"/>
        <v/>
      </c>
      <c r="G44" s="42"/>
      <c r="H44" s="133" t="str">
        <f t="shared" si="10"/>
        <v/>
      </c>
      <c r="I44" s="134">
        <f t="shared" si="6"/>
        <v>0</v>
      </c>
      <c r="J44" s="134">
        <f t="shared" si="13"/>
        <v>0</v>
      </c>
      <c r="K44" s="134">
        <f t="shared" si="7"/>
        <v>0</v>
      </c>
      <c r="L44" s="134">
        <f t="shared" si="8"/>
        <v>0</v>
      </c>
      <c r="M44" s="135">
        <f t="shared" si="14"/>
        <v>0</v>
      </c>
      <c r="O44" s="124" t="str">
        <f t="shared" si="11"/>
        <v/>
      </c>
      <c r="P44" s="124" t="str">
        <f t="shared" si="9"/>
        <v/>
      </c>
    </row>
    <row r="45" spans="5:16" x14ac:dyDescent="0.2">
      <c r="E45" s="44">
        <f t="shared" si="12"/>
        <v>110</v>
      </c>
      <c r="F45" s="121" t="str">
        <f t="shared" si="5"/>
        <v/>
      </c>
      <c r="G45" s="42"/>
      <c r="H45" s="133" t="str">
        <f t="shared" si="10"/>
        <v/>
      </c>
      <c r="I45" s="134">
        <f t="shared" si="6"/>
        <v>0</v>
      </c>
      <c r="J45" s="134">
        <f t="shared" si="13"/>
        <v>0</v>
      </c>
      <c r="K45" s="134">
        <f t="shared" si="7"/>
        <v>0</v>
      </c>
      <c r="L45" s="134">
        <f t="shared" si="8"/>
        <v>0</v>
      </c>
      <c r="M45" s="135">
        <f t="shared" si="14"/>
        <v>0</v>
      </c>
      <c r="O45" s="124" t="str">
        <f t="shared" si="11"/>
        <v/>
      </c>
      <c r="P45" s="124" t="str">
        <f t="shared" si="9"/>
        <v/>
      </c>
    </row>
    <row r="46" spans="5:16" x14ac:dyDescent="0.2">
      <c r="E46" s="44">
        <f t="shared" si="12"/>
        <v>110.25</v>
      </c>
      <c r="F46" s="121" t="str">
        <f t="shared" si="5"/>
        <v/>
      </c>
      <c r="G46" s="42"/>
      <c r="H46" s="133" t="str">
        <f t="shared" si="10"/>
        <v/>
      </c>
      <c r="I46" s="134">
        <f t="shared" si="6"/>
        <v>0</v>
      </c>
      <c r="J46" s="134">
        <f t="shared" si="13"/>
        <v>0</v>
      </c>
      <c r="K46" s="134">
        <f t="shared" si="7"/>
        <v>0</v>
      </c>
      <c r="L46" s="134">
        <f t="shared" si="8"/>
        <v>0</v>
      </c>
      <c r="M46" s="135">
        <f t="shared" si="14"/>
        <v>0</v>
      </c>
      <c r="O46" s="124" t="str">
        <f t="shared" si="11"/>
        <v/>
      </c>
      <c r="P46" s="124" t="str">
        <f t="shared" si="9"/>
        <v/>
      </c>
    </row>
    <row r="47" spans="5:16" x14ac:dyDescent="0.2">
      <c r="E47" s="44">
        <f t="shared" si="12"/>
        <v>110.5</v>
      </c>
      <c r="F47" s="121" t="str">
        <f t="shared" si="5"/>
        <v/>
      </c>
      <c r="G47" s="42"/>
      <c r="H47" s="133" t="str">
        <f t="shared" si="10"/>
        <v/>
      </c>
      <c r="I47" s="134">
        <f t="shared" si="6"/>
        <v>0</v>
      </c>
      <c r="J47" s="134">
        <f t="shared" si="13"/>
        <v>0</v>
      </c>
      <c r="K47" s="134">
        <f t="shared" si="7"/>
        <v>0</v>
      </c>
      <c r="L47" s="134">
        <f t="shared" si="8"/>
        <v>0</v>
      </c>
      <c r="M47" s="135">
        <f t="shared" si="14"/>
        <v>0</v>
      </c>
      <c r="O47" s="124" t="str">
        <f t="shared" si="11"/>
        <v/>
      </c>
      <c r="P47" s="124" t="str">
        <f t="shared" si="9"/>
        <v/>
      </c>
    </row>
    <row r="48" spans="5:16" x14ac:dyDescent="0.2">
      <c r="E48" s="44">
        <f t="shared" si="12"/>
        <v>110.75</v>
      </c>
      <c r="F48" s="121" t="str">
        <f t="shared" si="5"/>
        <v/>
      </c>
      <c r="G48" s="42"/>
      <c r="H48" s="133" t="str">
        <f t="shared" si="10"/>
        <v/>
      </c>
      <c r="I48" s="134">
        <f t="shared" si="6"/>
        <v>0</v>
      </c>
      <c r="J48" s="134">
        <f t="shared" si="13"/>
        <v>0</v>
      </c>
      <c r="K48" s="134">
        <f t="shared" si="7"/>
        <v>0</v>
      </c>
      <c r="L48" s="134">
        <f t="shared" si="8"/>
        <v>0</v>
      </c>
      <c r="M48" s="135">
        <f t="shared" si="14"/>
        <v>0</v>
      </c>
      <c r="O48" s="124" t="str">
        <f t="shared" si="11"/>
        <v/>
      </c>
      <c r="P48" s="124" t="str">
        <f t="shared" si="9"/>
        <v/>
      </c>
    </row>
    <row r="49" spans="5:16" x14ac:dyDescent="0.2">
      <c r="E49" s="44">
        <f t="shared" si="12"/>
        <v>111</v>
      </c>
      <c r="F49" s="121" t="str">
        <f t="shared" si="5"/>
        <v/>
      </c>
      <c r="G49" s="42"/>
      <c r="H49" s="133" t="str">
        <f t="shared" si="10"/>
        <v/>
      </c>
      <c r="I49" s="134">
        <f t="shared" si="6"/>
        <v>0</v>
      </c>
      <c r="J49" s="134">
        <f t="shared" si="13"/>
        <v>0</v>
      </c>
      <c r="K49" s="134">
        <f t="shared" si="7"/>
        <v>0</v>
      </c>
      <c r="L49" s="134">
        <f t="shared" si="8"/>
        <v>0</v>
      </c>
      <c r="M49" s="135">
        <f t="shared" si="14"/>
        <v>0</v>
      </c>
      <c r="O49" s="124" t="str">
        <f t="shared" si="11"/>
        <v/>
      </c>
      <c r="P49" s="124" t="str">
        <f t="shared" si="9"/>
        <v/>
      </c>
    </row>
    <row r="50" spans="5:16" x14ac:dyDescent="0.2">
      <c r="E50" s="44">
        <f t="shared" si="12"/>
        <v>111.25</v>
      </c>
      <c r="F50" s="121" t="str">
        <f t="shared" si="5"/>
        <v/>
      </c>
      <c r="G50" s="42"/>
      <c r="H50" s="133" t="str">
        <f t="shared" si="10"/>
        <v/>
      </c>
      <c r="I50" s="134">
        <f t="shared" si="6"/>
        <v>0</v>
      </c>
      <c r="J50" s="134">
        <f t="shared" si="13"/>
        <v>0</v>
      </c>
      <c r="K50" s="134">
        <f t="shared" si="7"/>
        <v>0</v>
      </c>
      <c r="L50" s="134">
        <f t="shared" si="8"/>
        <v>0</v>
      </c>
      <c r="M50" s="135">
        <f t="shared" si="14"/>
        <v>0</v>
      </c>
      <c r="O50" s="124" t="str">
        <f t="shared" si="11"/>
        <v/>
      </c>
      <c r="P50" s="124" t="str">
        <f t="shared" si="9"/>
        <v/>
      </c>
    </row>
    <row r="51" spans="5:16" x14ac:dyDescent="0.2">
      <c r="E51" s="44">
        <f t="shared" si="12"/>
        <v>111.5</v>
      </c>
      <c r="F51" s="121" t="str">
        <f t="shared" si="5"/>
        <v/>
      </c>
      <c r="G51" s="42"/>
      <c r="H51" s="133" t="str">
        <f t="shared" si="10"/>
        <v/>
      </c>
      <c r="I51" s="134">
        <f t="shared" si="6"/>
        <v>0</v>
      </c>
      <c r="J51" s="134">
        <f t="shared" si="13"/>
        <v>0</v>
      </c>
      <c r="K51" s="134">
        <f t="shared" si="7"/>
        <v>0</v>
      </c>
      <c r="L51" s="134">
        <f t="shared" si="8"/>
        <v>0</v>
      </c>
      <c r="M51" s="135">
        <f t="shared" si="14"/>
        <v>0</v>
      </c>
      <c r="O51" s="124" t="str">
        <f t="shared" si="11"/>
        <v/>
      </c>
      <c r="P51" s="124" t="str">
        <f t="shared" si="9"/>
        <v/>
      </c>
    </row>
    <row r="52" spans="5:16" x14ac:dyDescent="0.2">
      <c r="E52" s="44">
        <f t="shared" si="12"/>
        <v>111.75</v>
      </c>
      <c r="F52" s="121" t="str">
        <f t="shared" si="5"/>
        <v/>
      </c>
      <c r="G52" s="42"/>
      <c r="H52" s="133" t="str">
        <f t="shared" si="10"/>
        <v/>
      </c>
      <c r="I52" s="134">
        <f t="shared" si="6"/>
        <v>0</v>
      </c>
      <c r="J52" s="134">
        <f t="shared" si="13"/>
        <v>0</v>
      </c>
      <c r="K52" s="134">
        <f t="shared" si="7"/>
        <v>0</v>
      </c>
      <c r="L52" s="134">
        <f t="shared" si="8"/>
        <v>0</v>
      </c>
      <c r="M52" s="135">
        <f t="shared" si="14"/>
        <v>0</v>
      </c>
      <c r="O52" s="124" t="str">
        <f t="shared" si="11"/>
        <v/>
      </c>
      <c r="P52" s="124" t="str">
        <f t="shared" si="9"/>
        <v/>
      </c>
    </row>
    <row r="53" spans="5:16" x14ac:dyDescent="0.2">
      <c r="E53" s="44">
        <f t="shared" si="12"/>
        <v>112</v>
      </c>
      <c r="F53" s="121" t="str">
        <f t="shared" si="5"/>
        <v/>
      </c>
      <c r="G53" s="42"/>
      <c r="H53" s="133" t="str">
        <f t="shared" si="10"/>
        <v/>
      </c>
      <c r="I53" s="134">
        <f t="shared" si="6"/>
        <v>0</v>
      </c>
      <c r="J53" s="134">
        <f t="shared" si="13"/>
        <v>0</v>
      </c>
      <c r="K53" s="134">
        <f t="shared" si="7"/>
        <v>0</v>
      </c>
      <c r="L53" s="134">
        <f t="shared" si="8"/>
        <v>0</v>
      </c>
      <c r="M53" s="135">
        <f t="shared" si="14"/>
        <v>0</v>
      </c>
      <c r="O53" s="124" t="str">
        <f t="shared" si="11"/>
        <v/>
      </c>
      <c r="P53" s="124" t="str">
        <f t="shared" si="9"/>
        <v/>
      </c>
    </row>
    <row r="54" spans="5:16" x14ac:dyDescent="0.2">
      <c r="E54" s="44">
        <f t="shared" si="12"/>
        <v>112.25</v>
      </c>
      <c r="F54" s="121" t="str">
        <f t="shared" si="5"/>
        <v/>
      </c>
      <c r="G54" s="42"/>
      <c r="H54" s="133" t="str">
        <f t="shared" si="10"/>
        <v/>
      </c>
      <c r="I54" s="134">
        <f t="shared" si="6"/>
        <v>0</v>
      </c>
      <c r="J54" s="134">
        <f t="shared" si="13"/>
        <v>0</v>
      </c>
      <c r="K54" s="134">
        <f t="shared" si="7"/>
        <v>0</v>
      </c>
      <c r="L54" s="134">
        <f t="shared" si="8"/>
        <v>0</v>
      </c>
      <c r="M54" s="135">
        <f t="shared" si="14"/>
        <v>0</v>
      </c>
      <c r="O54" s="124" t="str">
        <f t="shared" si="11"/>
        <v/>
      </c>
      <c r="P54" s="124" t="str">
        <f t="shared" si="9"/>
        <v/>
      </c>
    </row>
    <row r="55" spans="5:16" x14ac:dyDescent="0.2">
      <c r="E55" s="44">
        <f t="shared" si="12"/>
        <v>112.5</v>
      </c>
      <c r="F55" s="121" t="str">
        <f t="shared" si="5"/>
        <v/>
      </c>
      <c r="G55" s="42"/>
      <c r="H55" s="133" t="str">
        <f t="shared" si="10"/>
        <v/>
      </c>
      <c r="I55" s="134">
        <f t="shared" si="6"/>
        <v>0</v>
      </c>
      <c r="J55" s="134">
        <f t="shared" si="13"/>
        <v>0</v>
      </c>
      <c r="K55" s="134">
        <f t="shared" si="7"/>
        <v>0</v>
      </c>
      <c r="L55" s="134">
        <f t="shared" si="8"/>
        <v>0</v>
      </c>
      <c r="M55" s="135">
        <f t="shared" si="14"/>
        <v>0</v>
      </c>
      <c r="O55" s="124" t="str">
        <f t="shared" si="11"/>
        <v/>
      </c>
      <c r="P55" s="124" t="str">
        <f t="shared" si="9"/>
        <v/>
      </c>
    </row>
    <row r="56" spans="5:16" x14ac:dyDescent="0.2">
      <c r="E56" s="44">
        <f t="shared" si="12"/>
        <v>112.75</v>
      </c>
      <c r="F56" s="121" t="str">
        <f t="shared" si="5"/>
        <v/>
      </c>
      <c r="G56" s="42"/>
      <c r="H56" s="133" t="str">
        <f t="shared" si="10"/>
        <v/>
      </c>
      <c r="I56" s="134">
        <f t="shared" si="6"/>
        <v>0</v>
      </c>
      <c r="J56" s="134">
        <f t="shared" si="13"/>
        <v>0</v>
      </c>
      <c r="K56" s="134">
        <f t="shared" si="7"/>
        <v>0</v>
      </c>
      <c r="L56" s="134">
        <f t="shared" si="8"/>
        <v>0</v>
      </c>
      <c r="M56" s="135">
        <f t="shared" si="14"/>
        <v>0</v>
      </c>
      <c r="O56" s="124" t="str">
        <f t="shared" si="11"/>
        <v/>
      </c>
      <c r="P56" s="124" t="str">
        <f t="shared" si="9"/>
        <v/>
      </c>
    </row>
    <row r="57" spans="5:16" x14ac:dyDescent="0.2">
      <c r="E57" s="44">
        <f t="shared" si="12"/>
        <v>113</v>
      </c>
      <c r="F57" s="121" t="str">
        <f t="shared" si="5"/>
        <v/>
      </c>
      <c r="G57" s="42"/>
      <c r="H57" s="133" t="str">
        <f t="shared" si="10"/>
        <v/>
      </c>
      <c r="I57" s="134">
        <f t="shared" si="6"/>
        <v>0</v>
      </c>
      <c r="J57" s="134">
        <f t="shared" si="13"/>
        <v>0</v>
      </c>
      <c r="K57" s="134">
        <f t="shared" si="7"/>
        <v>0</v>
      </c>
      <c r="L57" s="134">
        <f t="shared" si="8"/>
        <v>0</v>
      </c>
      <c r="M57" s="135">
        <f t="shared" si="14"/>
        <v>0</v>
      </c>
      <c r="O57" s="124" t="str">
        <f t="shared" si="11"/>
        <v/>
      </c>
      <c r="P57" s="124" t="str">
        <f t="shared" si="9"/>
        <v/>
      </c>
    </row>
    <row r="58" spans="5:16" x14ac:dyDescent="0.2">
      <c r="E58" s="44">
        <f t="shared" si="12"/>
        <v>113.25</v>
      </c>
      <c r="F58" s="121" t="str">
        <f t="shared" si="5"/>
        <v/>
      </c>
      <c r="G58" s="42"/>
      <c r="H58" s="133" t="str">
        <f t="shared" si="10"/>
        <v/>
      </c>
      <c r="I58" s="134">
        <f t="shared" si="6"/>
        <v>0</v>
      </c>
      <c r="J58" s="134">
        <f t="shared" si="13"/>
        <v>0</v>
      </c>
      <c r="K58" s="134">
        <f t="shared" si="7"/>
        <v>0</v>
      </c>
      <c r="L58" s="134">
        <f t="shared" si="8"/>
        <v>0</v>
      </c>
      <c r="M58" s="135">
        <f t="shared" si="14"/>
        <v>0</v>
      </c>
      <c r="O58" s="124" t="str">
        <f t="shared" si="11"/>
        <v/>
      </c>
      <c r="P58" s="124" t="str">
        <f t="shared" si="9"/>
        <v/>
      </c>
    </row>
    <row r="59" spans="5:16" x14ac:dyDescent="0.2">
      <c r="E59" s="44">
        <f t="shared" si="12"/>
        <v>113.5</v>
      </c>
      <c r="F59" s="121" t="str">
        <f t="shared" si="5"/>
        <v/>
      </c>
      <c r="G59" s="42"/>
      <c r="H59" s="133" t="str">
        <f t="shared" si="10"/>
        <v/>
      </c>
      <c r="I59" s="134">
        <f t="shared" si="6"/>
        <v>0</v>
      </c>
      <c r="J59" s="134">
        <f t="shared" si="13"/>
        <v>0</v>
      </c>
      <c r="K59" s="134">
        <f t="shared" si="7"/>
        <v>0</v>
      </c>
      <c r="L59" s="134">
        <f t="shared" si="8"/>
        <v>0</v>
      </c>
      <c r="M59" s="135">
        <f t="shared" si="14"/>
        <v>0</v>
      </c>
      <c r="O59" s="124" t="str">
        <f t="shared" si="11"/>
        <v/>
      </c>
      <c r="P59" s="124" t="str">
        <f t="shared" si="9"/>
        <v/>
      </c>
    </row>
    <row r="60" spans="5:16" x14ac:dyDescent="0.2">
      <c r="E60" s="44">
        <f t="shared" si="12"/>
        <v>113.75</v>
      </c>
      <c r="F60" s="121" t="str">
        <f t="shared" si="5"/>
        <v/>
      </c>
      <c r="G60" s="42"/>
      <c r="H60" s="133" t="str">
        <f t="shared" si="10"/>
        <v/>
      </c>
      <c r="I60" s="134">
        <f t="shared" si="6"/>
        <v>0</v>
      </c>
      <c r="J60" s="134">
        <f t="shared" si="13"/>
        <v>0</v>
      </c>
      <c r="K60" s="134">
        <f t="shared" si="7"/>
        <v>0</v>
      </c>
      <c r="L60" s="134">
        <f t="shared" si="8"/>
        <v>0</v>
      </c>
      <c r="M60" s="135">
        <f t="shared" si="14"/>
        <v>0</v>
      </c>
      <c r="O60" s="124" t="str">
        <f t="shared" si="11"/>
        <v/>
      </c>
      <c r="P60" s="124" t="str">
        <f t="shared" si="9"/>
        <v/>
      </c>
    </row>
    <row r="61" spans="5:16" x14ac:dyDescent="0.2">
      <c r="E61" s="44">
        <f t="shared" si="12"/>
        <v>114</v>
      </c>
      <c r="F61" s="121" t="str">
        <f t="shared" si="5"/>
        <v/>
      </c>
      <c r="G61" s="42"/>
      <c r="H61" s="133" t="str">
        <f t="shared" si="10"/>
        <v/>
      </c>
      <c r="I61" s="134">
        <f t="shared" si="6"/>
        <v>0</v>
      </c>
      <c r="J61" s="134">
        <f t="shared" si="13"/>
        <v>0</v>
      </c>
      <c r="K61" s="134">
        <f t="shared" si="7"/>
        <v>0</v>
      </c>
      <c r="L61" s="134">
        <f t="shared" si="8"/>
        <v>0</v>
      </c>
      <c r="M61" s="135">
        <f t="shared" si="14"/>
        <v>0</v>
      </c>
      <c r="O61" s="124" t="str">
        <f t="shared" si="11"/>
        <v/>
      </c>
      <c r="P61" s="124" t="str">
        <f t="shared" si="9"/>
        <v/>
      </c>
    </row>
    <row r="62" spans="5:16" x14ac:dyDescent="0.2">
      <c r="E62" s="44">
        <f t="shared" si="12"/>
        <v>114.25</v>
      </c>
      <c r="F62" s="121" t="str">
        <f t="shared" si="5"/>
        <v/>
      </c>
      <c r="G62" s="42"/>
      <c r="H62" s="133" t="str">
        <f t="shared" si="10"/>
        <v/>
      </c>
      <c r="I62" s="134">
        <f t="shared" si="6"/>
        <v>0</v>
      </c>
      <c r="J62" s="134">
        <f t="shared" si="13"/>
        <v>0</v>
      </c>
      <c r="K62" s="134">
        <f t="shared" si="7"/>
        <v>0</v>
      </c>
      <c r="L62" s="134">
        <f t="shared" si="8"/>
        <v>0</v>
      </c>
      <c r="M62" s="135">
        <f t="shared" si="14"/>
        <v>0</v>
      </c>
      <c r="O62" s="124" t="str">
        <f t="shared" si="11"/>
        <v/>
      </c>
      <c r="P62" s="124" t="str">
        <f t="shared" si="9"/>
        <v/>
      </c>
    </row>
    <row r="63" spans="5:16" x14ac:dyDescent="0.2">
      <c r="E63" s="44">
        <f t="shared" si="12"/>
        <v>114.5</v>
      </c>
      <c r="F63" s="121" t="str">
        <f t="shared" si="5"/>
        <v/>
      </c>
      <c r="G63" s="42"/>
      <c r="H63" s="133" t="str">
        <f t="shared" si="10"/>
        <v/>
      </c>
      <c r="I63" s="134">
        <f t="shared" si="6"/>
        <v>0</v>
      </c>
      <c r="J63" s="134">
        <f t="shared" si="13"/>
        <v>0</v>
      </c>
      <c r="K63" s="134">
        <f t="shared" si="7"/>
        <v>0</v>
      </c>
      <c r="L63" s="134">
        <f t="shared" si="8"/>
        <v>0</v>
      </c>
      <c r="M63" s="135">
        <f t="shared" si="14"/>
        <v>0</v>
      </c>
      <c r="O63" s="124" t="str">
        <f t="shared" si="11"/>
        <v/>
      </c>
      <c r="P63" s="124" t="str">
        <f t="shared" si="9"/>
        <v/>
      </c>
    </row>
    <row r="64" spans="5:16" x14ac:dyDescent="0.2">
      <c r="E64" s="44">
        <f t="shared" si="12"/>
        <v>114.75</v>
      </c>
      <c r="F64" s="121" t="str">
        <f t="shared" si="5"/>
        <v/>
      </c>
      <c r="G64" s="42"/>
      <c r="H64" s="133" t="str">
        <f t="shared" si="10"/>
        <v/>
      </c>
      <c r="I64" s="134">
        <f t="shared" si="6"/>
        <v>0</v>
      </c>
      <c r="J64" s="134">
        <f t="shared" si="13"/>
        <v>0</v>
      </c>
      <c r="K64" s="134">
        <f t="shared" si="7"/>
        <v>0</v>
      </c>
      <c r="L64" s="134">
        <f t="shared" si="8"/>
        <v>0</v>
      </c>
      <c r="M64" s="135">
        <f t="shared" si="14"/>
        <v>0</v>
      </c>
      <c r="O64" s="124" t="str">
        <f t="shared" si="11"/>
        <v/>
      </c>
      <c r="P64" s="124" t="str">
        <f t="shared" si="9"/>
        <v/>
      </c>
    </row>
    <row r="65" spans="5:16" x14ac:dyDescent="0.2">
      <c r="E65" s="44">
        <f t="shared" si="12"/>
        <v>115</v>
      </c>
      <c r="F65" s="121" t="str">
        <f t="shared" si="5"/>
        <v/>
      </c>
      <c r="G65" s="42"/>
      <c r="H65" s="133" t="str">
        <f t="shared" si="10"/>
        <v/>
      </c>
      <c r="I65" s="134">
        <f t="shared" si="6"/>
        <v>0</v>
      </c>
      <c r="J65" s="134">
        <f t="shared" si="13"/>
        <v>0</v>
      </c>
      <c r="K65" s="134">
        <f t="shared" si="7"/>
        <v>0</v>
      </c>
      <c r="L65" s="134">
        <f t="shared" si="8"/>
        <v>0</v>
      </c>
      <c r="M65" s="135">
        <f t="shared" si="14"/>
        <v>0</v>
      </c>
      <c r="O65" s="124" t="str">
        <f t="shared" si="11"/>
        <v/>
      </c>
      <c r="P65" s="124" t="str">
        <f t="shared" si="9"/>
        <v/>
      </c>
    </row>
    <row r="66" spans="5:16" x14ac:dyDescent="0.2">
      <c r="E66" s="44">
        <f t="shared" si="12"/>
        <v>115.25</v>
      </c>
      <c r="F66" s="121" t="str">
        <f t="shared" si="5"/>
        <v/>
      </c>
      <c r="G66" s="42"/>
      <c r="H66" s="133" t="str">
        <f t="shared" si="10"/>
        <v/>
      </c>
      <c r="I66" s="134">
        <f t="shared" si="6"/>
        <v>0</v>
      </c>
      <c r="J66" s="134">
        <f t="shared" si="13"/>
        <v>0</v>
      </c>
      <c r="K66" s="134">
        <f t="shared" si="7"/>
        <v>0</v>
      </c>
      <c r="L66" s="134">
        <f t="shared" si="8"/>
        <v>0</v>
      </c>
      <c r="M66" s="135">
        <f t="shared" si="14"/>
        <v>0</v>
      </c>
      <c r="O66" s="124" t="str">
        <f t="shared" si="11"/>
        <v/>
      </c>
      <c r="P66" s="124" t="str">
        <f t="shared" si="9"/>
        <v/>
      </c>
    </row>
    <row r="67" spans="5:16" x14ac:dyDescent="0.2">
      <c r="E67" s="44">
        <f t="shared" si="12"/>
        <v>115.5</v>
      </c>
      <c r="F67" s="121" t="str">
        <f t="shared" si="5"/>
        <v/>
      </c>
      <c r="G67" s="42"/>
      <c r="H67" s="133" t="str">
        <f t="shared" si="10"/>
        <v/>
      </c>
      <c r="I67" s="134">
        <f t="shared" si="6"/>
        <v>0</v>
      </c>
      <c r="J67" s="134">
        <f t="shared" si="13"/>
        <v>0</v>
      </c>
      <c r="K67" s="134">
        <f t="shared" si="7"/>
        <v>0</v>
      </c>
      <c r="L67" s="134">
        <f t="shared" si="8"/>
        <v>0</v>
      </c>
      <c r="M67" s="135">
        <f t="shared" si="14"/>
        <v>0</v>
      </c>
      <c r="O67" s="124" t="str">
        <f t="shared" si="11"/>
        <v/>
      </c>
      <c r="P67" s="124" t="str">
        <f t="shared" si="9"/>
        <v/>
      </c>
    </row>
    <row r="68" spans="5:16" x14ac:dyDescent="0.2">
      <c r="E68" s="44">
        <f t="shared" si="12"/>
        <v>115.75</v>
      </c>
      <c r="F68" s="121" t="str">
        <f t="shared" si="5"/>
        <v/>
      </c>
      <c r="G68" s="42"/>
      <c r="H68" s="133" t="str">
        <f t="shared" ref="H68:H96" si="15">IF(AND(C$5&gt;E68,C$5&lt;E69),C$5,IF(E68&lt;C$5,"",IF(AND(C$6&lt;E68,C$6&gt;E67),C$6,IF(AND(C$7&lt;E68,C$7&gt;E67),C$7,IF(C$16="yes",IF(E68&lt;C$8,E68,IF(AND(E68&gt;C$8,C$8+C$19&lt;E68),"",C$8)),IF(C$16="no",IF(E68&lt;C$7,E68,IF(AND(E68&gt;C$7,C$7+C$19&lt;E68),"",C$7)),"Error"))))))</f>
        <v/>
      </c>
      <c r="I68" s="134">
        <f t="shared" si="6"/>
        <v>0</v>
      </c>
      <c r="J68" s="134">
        <f t="shared" si="13"/>
        <v>0</v>
      </c>
      <c r="K68" s="134">
        <f t="shared" si="7"/>
        <v>0</v>
      </c>
      <c r="L68" s="134">
        <f t="shared" si="8"/>
        <v>0</v>
      </c>
      <c r="M68" s="135">
        <f t="shared" si="14"/>
        <v>0</v>
      </c>
      <c r="O68" s="124" t="str">
        <f t="shared" ref="O68:O96" si="16">F68</f>
        <v/>
      </c>
      <c r="P68" s="124" t="str">
        <f t="shared" si="9"/>
        <v/>
      </c>
    </row>
    <row r="69" spans="5:16" x14ac:dyDescent="0.2">
      <c r="E69" s="44">
        <f t="shared" ref="E69:E96" si="17">E68+$C$19</f>
        <v>116</v>
      </c>
      <c r="F69" s="121" t="str">
        <f t="shared" si="5"/>
        <v/>
      </c>
      <c r="G69" s="42"/>
      <c r="H69" s="133" t="str">
        <f t="shared" si="15"/>
        <v/>
      </c>
      <c r="I69" s="134">
        <f t="shared" si="6"/>
        <v>0</v>
      </c>
      <c r="J69" s="134">
        <f t="shared" ref="J69:J96" si="18">IF($H69&lt;=C$6,0,IF($H69&gt;=C$7+C$19,0,IF(AND($H69&gt;C$6,$H69&lt;=C$6+C$19),($H69-$H68)*C$10,IF(AND($H69&gt;C$6+C$19,$H69&lt;=C$7),($H69-$H68)*C$10,(C$7-H68)*C$10))))</f>
        <v>0</v>
      </c>
      <c r="K69" s="134">
        <f t="shared" si="7"/>
        <v>0</v>
      </c>
      <c r="L69" s="134">
        <f t="shared" si="8"/>
        <v>0</v>
      </c>
      <c r="M69" s="135">
        <f t="shared" ref="M69" si="19">IF($C$14="yes",L69*$C$17,0)</f>
        <v>0</v>
      </c>
      <c r="O69" s="124" t="str">
        <f t="shared" si="16"/>
        <v/>
      </c>
      <c r="P69" s="124" t="str">
        <f t="shared" si="9"/>
        <v/>
      </c>
    </row>
    <row r="70" spans="5:16" x14ac:dyDescent="0.2">
      <c r="E70" s="44">
        <f t="shared" si="17"/>
        <v>116.25</v>
      </c>
      <c r="F70" s="121" t="str">
        <f t="shared" ref="F70:F96" si="20">IF(C$16="yes",IF(E70&lt;C$8,E70,IF(AND(E70&gt;C$8,C$8+C$19&lt;E70),"",C$8)),IF(C$16="no",IF(E70&lt;C$7,E70,IF(AND(E70&gt;C$7,C$7+C$19&lt;E70),"",C$7)),"Error"))</f>
        <v/>
      </c>
      <c r="G70" s="42"/>
      <c r="H70" s="133" t="str">
        <f t="shared" si="15"/>
        <v/>
      </c>
      <c r="I70" s="134">
        <f t="shared" ref="I70:I96" si="21">IF(H69="",0,IF(H70&lt;&gt;"",(H70-H69)*C$11,0))</f>
        <v>0</v>
      </c>
      <c r="J70" s="134">
        <f t="shared" si="18"/>
        <v>0</v>
      </c>
      <c r="K70" s="134">
        <f t="shared" ref="K70:K96" si="22">J70*$C$9</f>
        <v>0</v>
      </c>
      <c r="L70" s="134">
        <f t="shared" ref="L70:L96" si="23">I70-J70</f>
        <v>0</v>
      </c>
      <c r="M70" s="135">
        <f t="shared" ref="M70:M96" si="24">IF($C$14="yes",L70*$C$17,0)</f>
        <v>0</v>
      </c>
      <c r="O70" s="124" t="str">
        <f t="shared" si="16"/>
        <v/>
      </c>
      <c r="P70" s="124" t="str">
        <f t="shared" ref="P70:P96" si="25">IF(O70="","",P69+(K70+M70))</f>
        <v/>
      </c>
    </row>
    <row r="71" spans="5:16" x14ac:dyDescent="0.2">
      <c r="E71" s="44">
        <f t="shared" si="17"/>
        <v>116.5</v>
      </c>
      <c r="F71" s="121" t="str">
        <f t="shared" si="20"/>
        <v/>
      </c>
      <c r="G71" s="42"/>
      <c r="H71" s="133" t="str">
        <f t="shared" si="15"/>
        <v/>
      </c>
      <c r="I71" s="134">
        <f t="shared" si="21"/>
        <v>0</v>
      </c>
      <c r="J71" s="134">
        <f t="shared" si="18"/>
        <v>0</v>
      </c>
      <c r="K71" s="134">
        <f t="shared" si="22"/>
        <v>0</v>
      </c>
      <c r="L71" s="134">
        <f t="shared" si="23"/>
        <v>0</v>
      </c>
      <c r="M71" s="135">
        <f t="shared" si="24"/>
        <v>0</v>
      </c>
      <c r="O71" s="124" t="str">
        <f t="shared" si="16"/>
        <v/>
      </c>
      <c r="P71" s="124" t="str">
        <f t="shared" si="25"/>
        <v/>
      </c>
    </row>
    <row r="72" spans="5:16" x14ac:dyDescent="0.2">
      <c r="E72" s="44">
        <f t="shared" si="17"/>
        <v>116.75</v>
      </c>
      <c r="F72" s="121" t="str">
        <f t="shared" si="20"/>
        <v/>
      </c>
      <c r="G72" s="42"/>
      <c r="H72" s="133" t="str">
        <f t="shared" si="15"/>
        <v/>
      </c>
      <c r="I72" s="134">
        <f t="shared" si="21"/>
        <v>0</v>
      </c>
      <c r="J72" s="134">
        <f t="shared" si="18"/>
        <v>0</v>
      </c>
      <c r="K72" s="134">
        <f t="shared" si="22"/>
        <v>0</v>
      </c>
      <c r="L72" s="134">
        <f t="shared" si="23"/>
        <v>0</v>
      </c>
      <c r="M72" s="135">
        <f t="shared" si="24"/>
        <v>0</v>
      </c>
      <c r="O72" s="124" t="str">
        <f t="shared" si="16"/>
        <v/>
      </c>
      <c r="P72" s="124" t="str">
        <f t="shared" si="25"/>
        <v/>
      </c>
    </row>
    <row r="73" spans="5:16" x14ac:dyDescent="0.2">
      <c r="E73" s="44">
        <f t="shared" si="17"/>
        <v>117</v>
      </c>
      <c r="F73" s="121" t="str">
        <f t="shared" si="20"/>
        <v/>
      </c>
      <c r="G73" s="42"/>
      <c r="H73" s="133" t="str">
        <f t="shared" si="15"/>
        <v/>
      </c>
      <c r="I73" s="134">
        <f t="shared" si="21"/>
        <v>0</v>
      </c>
      <c r="J73" s="134">
        <f t="shared" si="18"/>
        <v>0</v>
      </c>
      <c r="K73" s="134">
        <f t="shared" si="22"/>
        <v>0</v>
      </c>
      <c r="L73" s="134">
        <f t="shared" si="23"/>
        <v>0</v>
      </c>
      <c r="M73" s="135">
        <f t="shared" si="24"/>
        <v>0</v>
      </c>
      <c r="O73" s="124" t="str">
        <f t="shared" si="16"/>
        <v/>
      </c>
      <c r="P73" s="124" t="str">
        <f t="shared" si="25"/>
        <v/>
      </c>
    </row>
    <row r="74" spans="5:16" x14ac:dyDescent="0.2">
      <c r="E74" s="44">
        <f t="shared" si="17"/>
        <v>117.25</v>
      </c>
      <c r="F74" s="121" t="str">
        <f t="shared" si="20"/>
        <v/>
      </c>
      <c r="G74" s="42"/>
      <c r="H74" s="133" t="str">
        <f t="shared" si="15"/>
        <v/>
      </c>
      <c r="I74" s="134">
        <f t="shared" si="21"/>
        <v>0</v>
      </c>
      <c r="J74" s="134">
        <f t="shared" si="18"/>
        <v>0</v>
      </c>
      <c r="K74" s="134">
        <f t="shared" si="22"/>
        <v>0</v>
      </c>
      <c r="L74" s="134">
        <f t="shared" si="23"/>
        <v>0</v>
      </c>
      <c r="M74" s="135">
        <f t="shared" si="24"/>
        <v>0</v>
      </c>
      <c r="O74" s="124" t="str">
        <f t="shared" si="16"/>
        <v/>
      </c>
      <c r="P74" s="124" t="str">
        <f t="shared" si="25"/>
        <v/>
      </c>
    </row>
    <row r="75" spans="5:16" x14ac:dyDescent="0.2">
      <c r="E75" s="44">
        <f t="shared" si="17"/>
        <v>117.5</v>
      </c>
      <c r="F75" s="121" t="str">
        <f t="shared" si="20"/>
        <v/>
      </c>
      <c r="G75" s="42"/>
      <c r="H75" s="133" t="str">
        <f t="shared" si="15"/>
        <v/>
      </c>
      <c r="I75" s="134">
        <f t="shared" si="21"/>
        <v>0</v>
      </c>
      <c r="J75" s="134">
        <f t="shared" si="18"/>
        <v>0</v>
      </c>
      <c r="K75" s="134">
        <f t="shared" si="22"/>
        <v>0</v>
      </c>
      <c r="L75" s="134">
        <f t="shared" si="23"/>
        <v>0</v>
      </c>
      <c r="M75" s="135">
        <f t="shared" si="24"/>
        <v>0</v>
      </c>
      <c r="O75" s="124" t="str">
        <f t="shared" si="16"/>
        <v/>
      </c>
      <c r="P75" s="124" t="str">
        <f t="shared" si="25"/>
        <v/>
      </c>
    </row>
    <row r="76" spans="5:16" x14ac:dyDescent="0.2">
      <c r="E76" s="44">
        <f t="shared" si="17"/>
        <v>117.75</v>
      </c>
      <c r="F76" s="121" t="str">
        <f t="shared" si="20"/>
        <v/>
      </c>
      <c r="G76" s="42"/>
      <c r="H76" s="133" t="str">
        <f t="shared" si="15"/>
        <v/>
      </c>
      <c r="I76" s="134">
        <f t="shared" si="21"/>
        <v>0</v>
      </c>
      <c r="J76" s="134">
        <f t="shared" si="18"/>
        <v>0</v>
      </c>
      <c r="K76" s="134">
        <f t="shared" si="22"/>
        <v>0</v>
      </c>
      <c r="L76" s="134">
        <f t="shared" si="23"/>
        <v>0</v>
      </c>
      <c r="M76" s="135">
        <f t="shared" si="24"/>
        <v>0</v>
      </c>
      <c r="O76" s="124" t="str">
        <f t="shared" si="16"/>
        <v/>
      </c>
      <c r="P76" s="124" t="str">
        <f t="shared" si="25"/>
        <v/>
      </c>
    </row>
    <row r="77" spans="5:16" x14ac:dyDescent="0.2">
      <c r="E77" s="44">
        <f t="shared" si="17"/>
        <v>118</v>
      </c>
      <c r="F77" s="121" t="str">
        <f t="shared" si="20"/>
        <v/>
      </c>
      <c r="G77" s="42"/>
      <c r="H77" s="133" t="str">
        <f t="shared" si="15"/>
        <v/>
      </c>
      <c r="I77" s="134">
        <f t="shared" si="21"/>
        <v>0</v>
      </c>
      <c r="J77" s="134">
        <f t="shared" si="18"/>
        <v>0</v>
      </c>
      <c r="K77" s="134">
        <f t="shared" si="22"/>
        <v>0</v>
      </c>
      <c r="L77" s="134">
        <f t="shared" si="23"/>
        <v>0</v>
      </c>
      <c r="M77" s="135">
        <f t="shared" si="24"/>
        <v>0</v>
      </c>
      <c r="N77" s="39"/>
      <c r="O77" s="124" t="str">
        <f t="shared" si="16"/>
        <v/>
      </c>
      <c r="P77" s="124" t="str">
        <f t="shared" si="25"/>
        <v/>
      </c>
    </row>
    <row r="78" spans="5:16" x14ac:dyDescent="0.2">
      <c r="E78" s="44">
        <f t="shared" si="17"/>
        <v>118.25</v>
      </c>
      <c r="F78" s="121" t="str">
        <f t="shared" si="20"/>
        <v/>
      </c>
      <c r="G78" s="42"/>
      <c r="H78" s="133" t="str">
        <f t="shared" si="15"/>
        <v/>
      </c>
      <c r="I78" s="134">
        <f t="shared" si="21"/>
        <v>0</v>
      </c>
      <c r="J78" s="134">
        <f t="shared" si="18"/>
        <v>0</v>
      </c>
      <c r="K78" s="134">
        <f t="shared" si="22"/>
        <v>0</v>
      </c>
      <c r="L78" s="134">
        <f t="shared" si="23"/>
        <v>0</v>
      </c>
      <c r="M78" s="135">
        <f t="shared" si="24"/>
        <v>0</v>
      </c>
      <c r="O78" s="124" t="str">
        <f t="shared" si="16"/>
        <v/>
      </c>
      <c r="P78" s="124" t="str">
        <f t="shared" si="25"/>
        <v/>
      </c>
    </row>
    <row r="79" spans="5:16" x14ac:dyDescent="0.2">
      <c r="E79" s="44">
        <f t="shared" si="17"/>
        <v>118.5</v>
      </c>
      <c r="F79" s="121" t="str">
        <f t="shared" si="20"/>
        <v/>
      </c>
      <c r="G79" s="42"/>
      <c r="H79" s="133" t="str">
        <f t="shared" si="15"/>
        <v/>
      </c>
      <c r="I79" s="134">
        <f t="shared" si="21"/>
        <v>0</v>
      </c>
      <c r="J79" s="134">
        <f t="shared" si="18"/>
        <v>0</v>
      </c>
      <c r="K79" s="134">
        <f t="shared" si="22"/>
        <v>0</v>
      </c>
      <c r="L79" s="134">
        <f t="shared" si="23"/>
        <v>0</v>
      </c>
      <c r="M79" s="135">
        <f t="shared" si="24"/>
        <v>0</v>
      </c>
      <c r="O79" s="124" t="str">
        <f t="shared" si="16"/>
        <v/>
      </c>
      <c r="P79" s="124" t="str">
        <f t="shared" si="25"/>
        <v/>
      </c>
    </row>
    <row r="80" spans="5:16" x14ac:dyDescent="0.2">
      <c r="E80" s="44">
        <f t="shared" si="17"/>
        <v>118.75</v>
      </c>
      <c r="F80" s="121" t="str">
        <f t="shared" si="20"/>
        <v/>
      </c>
      <c r="G80" s="42"/>
      <c r="H80" s="133" t="str">
        <f t="shared" si="15"/>
        <v/>
      </c>
      <c r="I80" s="134">
        <f t="shared" si="21"/>
        <v>0</v>
      </c>
      <c r="J80" s="134">
        <f t="shared" si="18"/>
        <v>0</v>
      </c>
      <c r="K80" s="134">
        <f t="shared" si="22"/>
        <v>0</v>
      </c>
      <c r="L80" s="134">
        <f t="shared" si="23"/>
        <v>0</v>
      </c>
      <c r="M80" s="135">
        <f t="shared" si="24"/>
        <v>0</v>
      </c>
      <c r="O80" s="124" t="str">
        <f t="shared" si="16"/>
        <v/>
      </c>
      <c r="P80" s="124" t="str">
        <f t="shared" si="25"/>
        <v/>
      </c>
    </row>
    <row r="81" spans="5:16" x14ac:dyDescent="0.2">
      <c r="E81" s="44">
        <f t="shared" si="17"/>
        <v>119</v>
      </c>
      <c r="F81" s="121" t="str">
        <f t="shared" si="20"/>
        <v/>
      </c>
      <c r="G81" s="42"/>
      <c r="H81" s="133" t="str">
        <f t="shared" si="15"/>
        <v/>
      </c>
      <c r="I81" s="134">
        <f t="shared" si="21"/>
        <v>0</v>
      </c>
      <c r="J81" s="134">
        <f t="shared" si="18"/>
        <v>0</v>
      </c>
      <c r="K81" s="134">
        <f t="shared" si="22"/>
        <v>0</v>
      </c>
      <c r="L81" s="134">
        <f t="shared" si="23"/>
        <v>0</v>
      </c>
      <c r="M81" s="135">
        <f t="shared" si="24"/>
        <v>0</v>
      </c>
      <c r="O81" s="124" t="str">
        <f t="shared" si="16"/>
        <v/>
      </c>
      <c r="P81" s="124" t="str">
        <f t="shared" si="25"/>
        <v/>
      </c>
    </row>
    <row r="82" spans="5:16" x14ac:dyDescent="0.2">
      <c r="E82" s="44">
        <f t="shared" si="17"/>
        <v>119.25</v>
      </c>
      <c r="F82" s="121" t="str">
        <f t="shared" si="20"/>
        <v/>
      </c>
      <c r="G82" s="42"/>
      <c r="H82" s="133" t="str">
        <f t="shared" si="15"/>
        <v/>
      </c>
      <c r="I82" s="134">
        <f t="shared" si="21"/>
        <v>0</v>
      </c>
      <c r="J82" s="134">
        <f t="shared" si="18"/>
        <v>0</v>
      </c>
      <c r="K82" s="134">
        <f t="shared" si="22"/>
        <v>0</v>
      </c>
      <c r="L82" s="134">
        <f t="shared" si="23"/>
        <v>0</v>
      </c>
      <c r="M82" s="135">
        <f t="shared" si="24"/>
        <v>0</v>
      </c>
      <c r="O82" s="124" t="str">
        <f t="shared" si="16"/>
        <v/>
      </c>
      <c r="P82" s="124" t="str">
        <f t="shared" si="25"/>
        <v/>
      </c>
    </row>
    <row r="83" spans="5:16" x14ac:dyDescent="0.2">
      <c r="E83" s="44">
        <f t="shared" si="17"/>
        <v>119.5</v>
      </c>
      <c r="F83" s="121" t="str">
        <f t="shared" si="20"/>
        <v/>
      </c>
      <c r="G83" s="42"/>
      <c r="H83" s="133" t="str">
        <f t="shared" si="15"/>
        <v/>
      </c>
      <c r="I83" s="134">
        <f t="shared" si="21"/>
        <v>0</v>
      </c>
      <c r="J83" s="134">
        <f t="shared" si="18"/>
        <v>0</v>
      </c>
      <c r="K83" s="134">
        <f t="shared" si="22"/>
        <v>0</v>
      </c>
      <c r="L83" s="134">
        <f t="shared" si="23"/>
        <v>0</v>
      </c>
      <c r="M83" s="135">
        <f t="shared" si="24"/>
        <v>0</v>
      </c>
      <c r="O83" s="124" t="str">
        <f t="shared" si="16"/>
        <v/>
      </c>
      <c r="P83" s="124" t="str">
        <f t="shared" si="25"/>
        <v/>
      </c>
    </row>
    <row r="84" spans="5:16" x14ac:dyDescent="0.2">
      <c r="E84" s="44">
        <f t="shared" si="17"/>
        <v>119.75</v>
      </c>
      <c r="F84" s="121" t="str">
        <f t="shared" si="20"/>
        <v/>
      </c>
      <c r="G84" s="42"/>
      <c r="H84" s="133" t="str">
        <f t="shared" si="15"/>
        <v/>
      </c>
      <c r="I84" s="134">
        <f t="shared" si="21"/>
        <v>0</v>
      </c>
      <c r="J84" s="134">
        <f t="shared" si="18"/>
        <v>0</v>
      </c>
      <c r="K84" s="134">
        <f t="shared" si="22"/>
        <v>0</v>
      </c>
      <c r="L84" s="134">
        <f t="shared" si="23"/>
        <v>0</v>
      </c>
      <c r="M84" s="135">
        <f t="shared" si="24"/>
        <v>0</v>
      </c>
      <c r="O84" s="124" t="str">
        <f t="shared" si="16"/>
        <v/>
      </c>
      <c r="P84" s="124" t="str">
        <f t="shared" si="25"/>
        <v/>
      </c>
    </row>
    <row r="85" spans="5:16" x14ac:dyDescent="0.2">
      <c r="E85" s="44">
        <f t="shared" si="17"/>
        <v>120</v>
      </c>
      <c r="F85" s="121" t="str">
        <f t="shared" si="20"/>
        <v/>
      </c>
      <c r="G85" s="42"/>
      <c r="H85" s="133" t="str">
        <f t="shared" si="15"/>
        <v/>
      </c>
      <c r="I85" s="134">
        <f t="shared" si="21"/>
        <v>0</v>
      </c>
      <c r="J85" s="134">
        <f t="shared" si="18"/>
        <v>0</v>
      </c>
      <c r="K85" s="134">
        <f t="shared" si="22"/>
        <v>0</v>
      </c>
      <c r="L85" s="134">
        <f t="shared" si="23"/>
        <v>0</v>
      </c>
      <c r="M85" s="135">
        <f t="shared" si="24"/>
        <v>0</v>
      </c>
      <c r="O85" s="124" t="str">
        <f t="shared" si="16"/>
        <v/>
      </c>
      <c r="P85" s="124" t="str">
        <f t="shared" si="25"/>
        <v/>
      </c>
    </row>
    <row r="86" spans="5:16" x14ac:dyDescent="0.2">
      <c r="E86" s="44">
        <f t="shared" si="17"/>
        <v>120.25</v>
      </c>
      <c r="F86" s="121" t="str">
        <f t="shared" si="20"/>
        <v/>
      </c>
      <c r="G86" s="42"/>
      <c r="H86" s="133" t="str">
        <f t="shared" si="15"/>
        <v/>
      </c>
      <c r="I86" s="134">
        <f t="shared" si="21"/>
        <v>0</v>
      </c>
      <c r="J86" s="134">
        <f t="shared" si="18"/>
        <v>0</v>
      </c>
      <c r="K86" s="134">
        <f t="shared" si="22"/>
        <v>0</v>
      </c>
      <c r="L86" s="134">
        <f t="shared" si="23"/>
        <v>0</v>
      </c>
      <c r="M86" s="135">
        <f t="shared" si="24"/>
        <v>0</v>
      </c>
      <c r="O86" s="124" t="str">
        <f t="shared" si="16"/>
        <v/>
      </c>
      <c r="P86" s="124" t="str">
        <f t="shared" si="25"/>
        <v/>
      </c>
    </row>
    <row r="87" spans="5:16" x14ac:dyDescent="0.2">
      <c r="E87" s="44">
        <f t="shared" si="17"/>
        <v>120.5</v>
      </c>
      <c r="F87" s="121" t="str">
        <f t="shared" si="20"/>
        <v/>
      </c>
      <c r="G87" s="42"/>
      <c r="H87" s="133" t="str">
        <f t="shared" si="15"/>
        <v/>
      </c>
      <c r="I87" s="134">
        <f t="shared" si="21"/>
        <v>0</v>
      </c>
      <c r="J87" s="134">
        <f t="shared" si="18"/>
        <v>0</v>
      </c>
      <c r="K87" s="134">
        <f t="shared" si="22"/>
        <v>0</v>
      </c>
      <c r="L87" s="134">
        <f t="shared" si="23"/>
        <v>0</v>
      </c>
      <c r="M87" s="135">
        <f t="shared" si="24"/>
        <v>0</v>
      </c>
      <c r="O87" s="124" t="str">
        <f t="shared" si="16"/>
        <v/>
      </c>
      <c r="P87" s="124" t="str">
        <f t="shared" si="25"/>
        <v/>
      </c>
    </row>
    <row r="88" spans="5:16" x14ac:dyDescent="0.2">
      <c r="E88" s="44">
        <f t="shared" si="17"/>
        <v>120.75</v>
      </c>
      <c r="F88" s="121" t="str">
        <f t="shared" si="20"/>
        <v/>
      </c>
      <c r="G88" s="42"/>
      <c r="H88" s="133" t="str">
        <f t="shared" si="15"/>
        <v/>
      </c>
      <c r="I88" s="134">
        <f t="shared" si="21"/>
        <v>0</v>
      </c>
      <c r="J88" s="134">
        <f t="shared" si="18"/>
        <v>0</v>
      </c>
      <c r="K88" s="134">
        <f t="shared" si="22"/>
        <v>0</v>
      </c>
      <c r="L88" s="134">
        <f t="shared" si="23"/>
        <v>0</v>
      </c>
      <c r="M88" s="135">
        <f t="shared" si="24"/>
        <v>0</v>
      </c>
      <c r="O88" s="124" t="str">
        <f t="shared" si="16"/>
        <v/>
      </c>
      <c r="P88" s="124" t="str">
        <f t="shared" si="25"/>
        <v/>
      </c>
    </row>
    <row r="89" spans="5:16" x14ac:dyDescent="0.2">
      <c r="E89" s="44">
        <f t="shared" si="17"/>
        <v>121</v>
      </c>
      <c r="F89" s="121" t="str">
        <f t="shared" si="20"/>
        <v/>
      </c>
      <c r="G89" s="42"/>
      <c r="H89" s="133" t="str">
        <f t="shared" si="15"/>
        <v/>
      </c>
      <c r="I89" s="134">
        <f t="shared" si="21"/>
        <v>0</v>
      </c>
      <c r="J89" s="134">
        <f t="shared" si="18"/>
        <v>0</v>
      </c>
      <c r="K89" s="134">
        <f t="shared" si="22"/>
        <v>0</v>
      </c>
      <c r="L89" s="134">
        <f t="shared" si="23"/>
        <v>0</v>
      </c>
      <c r="M89" s="135">
        <f t="shared" si="24"/>
        <v>0</v>
      </c>
      <c r="O89" s="124" t="str">
        <f t="shared" si="16"/>
        <v/>
      </c>
      <c r="P89" s="124" t="str">
        <f t="shared" si="25"/>
        <v/>
      </c>
    </row>
    <row r="90" spans="5:16" x14ac:dyDescent="0.2">
      <c r="E90" s="44">
        <f t="shared" si="17"/>
        <v>121.25</v>
      </c>
      <c r="F90" s="121" t="str">
        <f t="shared" si="20"/>
        <v/>
      </c>
      <c r="G90" s="42"/>
      <c r="H90" s="133" t="str">
        <f t="shared" si="15"/>
        <v/>
      </c>
      <c r="I90" s="134">
        <f t="shared" si="21"/>
        <v>0</v>
      </c>
      <c r="J90" s="134">
        <f t="shared" si="18"/>
        <v>0</v>
      </c>
      <c r="K90" s="134">
        <f t="shared" si="22"/>
        <v>0</v>
      </c>
      <c r="L90" s="134">
        <f t="shared" si="23"/>
        <v>0</v>
      </c>
      <c r="M90" s="135">
        <f t="shared" si="24"/>
        <v>0</v>
      </c>
      <c r="O90" s="124" t="str">
        <f t="shared" si="16"/>
        <v/>
      </c>
      <c r="P90" s="124" t="str">
        <f t="shared" si="25"/>
        <v/>
      </c>
    </row>
    <row r="91" spans="5:16" x14ac:dyDescent="0.2">
      <c r="E91" s="44">
        <f t="shared" si="17"/>
        <v>121.5</v>
      </c>
      <c r="F91" s="121" t="str">
        <f t="shared" si="20"/>
        <v/>
      </c>
      <c r="G91" s="42"/>
      <c r="H91" s="133" t="str">
        <f t="shared" si="15"/>
        <v/>
      </c>
      <c r="I91" s="134">
        <f t="shared" si="21"/>
        <v>0</v>
      </c>
      <c r="J91" s="134">
        <f t="shared" si="18"/>
        <v>0</v>
      </c>
      <c r="K91" s="134">
        <f t="shared" si="22"/>
        <v>0</v>
      </c>
      <c r="L91" s="134">
        <f t="shared" si="23"/>
        <v>0</v>
      </c>
      <c r="M91" s="135">
        <f t="shared" si="24"/>
        <v>0</v>
      </c>
      <c r="O91" s="124" t="str">
        <f t="shared" si="16"/>
        <v/>
      </c>
      <c r="P91" s="124" t="str">
        <f t="shared" si="25"/>
        <v/>
      </c>
    </row>
    <row r="92" spans="5:16" x14ac:dyDescent="0.2">
      <c r="E92" s="44">
        <f t="shared" si="17"/>
        <v>121.75</v>
      </c>
      <c r="F92" s="121" t="str">
        <f t="shared" si="20"/>
        <v/>
      </c>
      <c r="G92" s="42"/>
      <c r="H92" s="133" t="str">
        <f t="shared" si="15"/>
        <v/>
      </c>
      <c r="I92" s="134">
        <f t="shared" si="21"/>
        <v>0</v>
      </c>
      <c r="J92" s="134">
        <f t="shared" si="18"/>
        <v>0</v>
      </c>
      <c r="K92" s="134">
        <f t="shared" si="22"/>
        <v>0</v>
      </c>
      <c r="L92" s="134">
        <f t="shared" si="23"/>
        <v>0</v>
      </c>
      <c r="M92" s="135">
        <f t="shared" si="24"/>
        <v>0</v>
      </c>
      <c r="O92" s="124" t="str">
        <f t="shared" si="16"/>
        <v/>
      </c>
      <c r="P92" s="124" t="str">
        <f t="shared" si="25"/>
        <v/>
      </c>
    </row>
    <row r="93" spans="5:16" x14ac:dyDescent="0.2">
      <c r="E93" s="44">
        <f t="shared" si="17"/>
        <v>122</v>
      </c>
      <c r="F93" s="121" t="str">
        <f t="shared" si="20"/>
        <v/>
      </c>
      <c r="G93" s="42"/>
      <c r="H93" s="133" t="str">
        <f t="shared" si="15"/>
        <v/>
      </c>
      <c r="I93" s="134">
        <f t="shared" si="21"/>
        <v>0</v>
      </c>
      <c r="J93" s="134">
        <f t="shared" si="18"/>
        <v>0</v>
      </c>
      <c r="K93" s="134">
        <f t="shared" si="22"/>
        <v>0</v>
      </c>
      <c r="L93" s="134">
        <f t="shared" si="23"/>
        <v>0</v>
      </c>
      <c r="M93" s="135">
        <f t="shared" si="24"/>
        <v>0</v>
      </c>
      <c r="O93" s="124" t="str">
        <f t="shared" si="16"/>
        <v/>
      </c>
      <c r="P93" s="124" t="str">
        <f t="shared" si="25"/>
        <v/>
      </c>
    </row>
    <row r="94" spans="5:16" x14ac:dyDescent="0.2">
      <c r="E94" s="44">
        <f t="shared" si="17"/>
        <v>122.25</v>
      </c>
      <c r="F94" s="121" t="str">
        <f t="shared" si="20"/>
        <v/>
      </c>
      <c r="G94" s="42"/>
      <c r="H94" s="133" t="str">
        <f t="shared" si="15"/>
        <v/>
      </c>
      <c r="I94" s="134">
        <f t="shared" si="21"/>
        <v>0</v>
      </c>
      <c r="J94" s="134">
        <f t="shared" si="18"/>
        <v>0</v>
      </c>
      <c r="K94" s="134">
        <f t="shared" si="22"/>
        <v>0</v>
      </c>
      <c r="L94" s="134">
        <f t="shared" si="23"/>
        <v>0</v>
      </c>
      <c r="M94" s="135">
        <f t="shared" si="24"/>
        <v>0</v>
      </c>
      <c r="O94" s="124" t="str">
        <f t="shared" si="16"/>
        <v/>
      </c>
      <c r="P94" s="124" t="str">
        <f t="shared" si="25"/>
        <v/>
      </c>
    </row>
    <row r="95" spans="5:16" x14ac:dyDescent="0.2">
      <c r="E95" s="44">
        <f t="shared" si="17"/>
        <v>122.5</v>
      </c>
      <c r="F95" s="121" t="str">
        <f t="shared" si="20"/>
        <v/>
      </c>
      <c r="G95" s="42"/>
      <c r="H95" s="133" t="str">
        <f t="shared" si="15"/>
        <v/>
      </c>
      <c r="I95" s="134">
        <f t="shared" si="21"/>
        <v>0</v>
      </c>
      <c r="J95" s="134">
        <f t="shared" si="18"/>
        <v>0</v>
      </c>
      <c r="K95" s="134">
        <f t="shared" si="22"/>
        <v>0</v>
      </c>
      <c r="L95" s="134">
        <f t="shared" si="23"/>
        <v>0</v>
      </c>
      <c r="M95" s="135">
        <f t="shared" si="24"/>
        <v>0</v>
      </c>
      <c r="O95" s="124" t="str">
        <f t="shared" si="16"/>
        <v/>
      </c>
      <c r="P95" s="124" t="str">
        <f t="shared" si="25"/>
        <v/>
      </c>
    </row>
    <row r="96" spans="5:16" x14ac:dyDescent="0.2">
      <c r="E96" s="45">
        <f t="shared" si="17"/>
        <v>122.75</v>
      </c>
      <c r="F96" s="123" t="str">
        <f t="shared" si="20"/>
        <v/>
      </c>
      <c r="G96" s="42"/>
      <c r="H96" s="133" t="str">
        <f t="shared" si="15"/>
        <v/>
      </c>
      <c r="I96" s="134">
        <f t="shared" si="21"/>
        <v>0</v>
      </c>
      <c r="J96" s="134">
        <f t="shared" si="18"/>
        <v>0</v>
      </c>
      <c r="K96" s="134">
        <f t="shared" si="22"/>
        <v>0</v>
      </c>
      <c r="L96" s="134">
        <f t="shared" si="23"/>
        <v>0</v>
      </c>
      <c r="M96" s="135">
        <f t="shared" si="24"/>
        <v>0</v>
      </c>
      <c r="O96" s="125" t="str">
        <f t="shared" si="16"/>
        <v/>
      </c>
      <c r="P96" s="125" t="str">
        <f t="shared" si="25"/>
        <v/>
      </c>
    </row>
    <row r="97" spans="6:16" x14ac:dyDescent="0.2">
      <c r="F97" s="41"/>
      <c r="G97" s="41"/>
      <c r="H97" s="136"/>
      <c r="I97" s="130"/>
      <c r="J97" s="130"/>
      <c r="K97" s="130">
        <f>SUM(K4:K96)</f>
        <v>544.59997666666459</v>
      </c>
      <c r="L97" s="130">
        <f>SUM(L4:L96)</f>
        <v>773.40353333333269</v>
      </c>
      <c r="M97" s="131">
        <f>SUM(M4:M96)</f>
        <v>309.36141333333308</v>
      </c>
      <c r="P97" s="39"/>
    </row>
    <row r="98" spans="6:16" x14ac:dyDescent="0.2">
      <c r="F98" s="41"/>
      <c r="G98" s="41"/>
      <c r="H98" s="41"/>
    </row>
    <row r="99" spans="6:16" x14ac:dyDescent="0.2">
      <c r="F99" s="41"/>
      <c r="G99" s="41"/>
      <c r="H99" s="41"/>
    </row>
    <row r="100" spans="6:16" x14ac:dyDescent="0.2">
      <c r="F100" s="41"/>
      <c r="G100" s="41"/>
      <c r="H100" s="41"/>
    </row>
    <row r="101" spans="6:16" x14ac:dyDescent="0.2">
      <c r="F101" s="41"/>
      <c r="G101" s="41"/>
      <c r="H101" s="41"/>
    </row>
    <row r="102" spans="6:16" x14ac:dyDescent="0.2">
      <c r="F102" s="41"/>
      <c r="G102" s="41"/>
      <c r="H102" s="41"/>
    </row>
    <row r="103" spans="6:16" x14ac:dyDescent="0.2">
      <c r="F103" s="41"/>
      <c r="G103" s="41"/>
      <c r="H103" s="41"/>
    </row>
    <row r="104" spans="6:16" x14ac:dyDescent="0.2">
      <c r="F104" s="41"/>
      <c r="G104" s="41"/>
      <c r="H104" s="41"/>
    </row>
    <row r="105" spans="6:16" x14ac:dyDescent="0.2">
      <c r="F105" s="41"/>
      <c r="G105" s="41"/>
      <c r="H105" s="41"/>
    </row>
    <row r="106" spans="6:16" x14ac:dyDescent="0.2">
      <c r="F106" s="41"/>
      <c r="G106" s="41"/>
      <c r="H106" s="41"/>
    </row>
    <row r="107" spans="6:16" x14ac:dyDescent="0.2">
      <c r="F107" s="41"/>
      <c r="G107" s="41"/>
      <c r="H107" s="41"/>
    </row>
    <row r="108" spans="6:16" x14ac:dyDescent="0.2">
      <c r="F108" s="41"/>
      <c r="G108" s="41"/>
      <c r="H108" s="41"/>
    </row>
    <row r="109" spans="6:16" x14ac:dyDescent="0.2">
      <c r="F109" s="41"/>
      <c r="G109" s="41"/>
      <c r="H109" s="41"/>
    </row>
    <row r="110" spans="6:16" x14ac:dyDescent="0.2">
      <c r="F110" s="41"/>
      <c r="G110" s="41"/>
      <c r="H110" s="41"/>
    </row>
    <row r="111" spans="6:16" x14ac:dyDescent="0.2">
      <c r="F111" s="41"/>
      <c r="G111" s="41"/>
      <c r="H111" s="41"/>
    </row>
  </sheetData>
  <mergeCells count="11">
    <mergeCell ref="L2:L3"/>
    <mergeCell ref="P1:P3"/>
    <mergeCell ref="O1:O3"/>
    <mergeCell ref="B13:C13"/>
    <mergeCell ref="M2:M3"/>
    <mergeCell ref="H1:M1"/>
    <mergeCell ref="F2:F3"/>
    <mergeCell ref="J2:J3"/>
    <mergeCell ref="I2:I3"/>
    <mergeCell ref="B3:C3"/>
    <mergeCell ref="K2:K3"/>
  </mergeCells>
  <printOptions horizontalCentered="1"/>
  <pageMargins left="0.7" right="0.7" top="0.5" bottom="0.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8"/>
  <sheetViews>
    <sheetView zoomScaleNormal="100" workbookViewId="0">
      <selection activeCell="E29" sqref="E29"/>
    </sheetView>
  </sheetViews>
  <sheetFormatPr defaultColWidth="9.140625" defaultRowHeight="12.75" x14ac:dyDescent="0.2"/>
  <cols>
    <col min="1" max="1" width="19.85546875" style="73" bestFit="1" customWidth="1"/>
    <col min="2" max="2" width="13.85546875" style="75" bestFit="1" customWidth="1"/>
    <col min="3" max="3" width="14" style="75" bestFit="1" customWidth="1"/>
    <col min="4" max="4" width="18.28515625" style="75" bestFit="1" customWidth="1"/>
    <col min="5" max="5" width="21.42578125" style="75" bestFit="1" customWidth="1"/>
    <col min="6" max="6" width="18.140625" style="75" bestFit="1" customWidth="1"/>
    <col min="7" max="7" width="12.85546875" style="75" bestFit="1" customWidth="1"/>
    <col min="8" max="8" width="11.42578125" style="75" bestFit="1" customWidth="1"/>
    <col min="9" max="9" width="18.28515625" style="75" bestFit="1" customWidth="1"/>
    <col min="10" max="10" width="13.85546875" style="75" bestFit="1" customWidth="1"/>
    <col min="11" max="11" width="13.28515625" style="75" bestFit="1" customWidth="1"/>
    <col min="12" max="12" width="13.28515625" style="75" customWidth="1"/>
    <col min="13" max="13" width="17.85546875" style="75" bestFit="1" customWidth="1"/>
    <col min="14" max="14" width="9.7109375" style="75" bestFit="1" customWidth="1"/>
    <col min="15" max="15" width="15.42578125" style="75" customWidth="1"/>
    <col min="16" max="16" width="16.85546875" style="75" customWidth="1"/>
    <col min="17" max="17" width="13.7109375" style="75" customWidth="1"/>
    <col min="18" max="16384" width="9.140625" style="75"/>
  </cols>
  <sheetData>
    <row r="1" spans="1:18" x14ac:dyDescent="0.2">
      <c r="B1" s="74"/>
      <c r="H1" s="76"/>
      <c r="I1" s="76"/>
      <c r="J1" s="76"/>
      <c r="N1" s="77"/>
      <c r="O1" s="77"/>
      <c r="P1" s="77"/>
    </row>
    <row r="2" spans="1:18" x14ac:dyDescent="0.2">
      <c r="B2" s="78" t="s">
        <v>58</v>
      </c>
      <c r="C2" s="78" t="s">
        <v>135</v>
      </c>
      <c r="D2" s="78" t="s">
        <v>136</v>
      </c>
      <c r="E2" s="78" t="s">
        <v>137</v>
      </c>
      <c r="F2" s="78" t="s">
        <v>138</v>
      </c>
      <c r="G2" s="78" t="s">
        <v>139</v>
      </c>
      <c r="H2" s="78" t="s">
        <v>140</v>
      </c>
      <c r="I2" s="78" t="s">
        <v>141</v>
      </c>
      <c r="J2" s="78" t="s">
        <v>142</v>
      </c>
      <c r="M2" s="79" t="s">
        <v>59</v>
      </c>
      <c r="N2" s="80">
        <f>'Design Tool'!Q17</f>
        <v>5000</v>
      </c>
      <c r="R2" s="81"/>
    </row>
    <row r="3" spans="1:18" x14ac:dyDescent="0.2">
      <c r="A3" s="82" t="s">
        <v>109</v>
      </c>
      <c r="B3" s="83" t="str">
        <f>IF('Design Tool'!D$9="","",'Design Tool'!D$9)</f>
        <v>HD Single</v>
      </c>
      <c r="C3" s="80">
        <f>IF($B3="",0,VLOOKUP($B3,'Reference Data'!$C$2:$P$26,10,FALSE))</f>
        <v>4.2217977772205177</v>
      </c>
      <c r="D3" s="84">
        <f>IF($B3="",0,VLOOKUP($B3,'Reference Data'!$C$2:$P$26,5,FALSE))</f>
        <v>28.15</v>
      </c>
      <c r="E3" s="84">
        <f>IF($B3="",0,VLOOKUP($B3,'Reference Data'!$C$2:$P$26,7,FALSE))</f>
        <v>15.75</v>
      </c>
      <c r="F3" s="84">
        <f>IF($B3="",0,VLOOKUP($B3,'Reference Data'!$C$2:$P$26,3,FALSE))</f>
        <v>17.32</v>
      </c>
      <c r="G3" s="85">
        <f>IF($B3="",0,ROUND(H3/(D3*E3/144),2))</f>
        <v>129</v>
      </c>
      <c r="H3" s="86">
        <f>'Design Tool'!D17</f>
        <v>397.18</v>
      </c>
      <c r="I3" s="80">
        <f>H3*F3/12</f>
        <v>573.26313333333337</v>
      </c>
      <c r="J3" s="80">
        <f>I3*IF(B3="XD",0.9,0.95)</f>
        <v>544.59997666666663</v>
      </c>
      <c r="M3" s="79" t="s">
        <v>183</v>
      </c>
      <c r="N3" s="80">
        <f>IF('Design Tool'!Q16="Full Storage",'Design Tool'!Q22,'Design Tool'!#REF!)</f>
        <v>853.96138999999994</v>
      </c>
      <c r="R3" s="88"/>
    </row>
    <row r="4" spans="1:18" x14ac:dyDescent="0.2">
      <c r="M4" s="79" t="str">
        <f>IF((N2-N3)/(N3/G3)&gt;0,"Additional Units Req.","Surplus Units")</f>
        <v>Additional Units Req.</v>
      </c>
      <c r="N4" s="87">
        <f>IF((N2-N3)/(N3/(G3))&lt;0,ROUNDDOWN((N3-N2)/(N3/(G3)),0),ROUNDUP((N2-N3)/(N3/(G3)),0))</f>
        <v>627</v>
      </c>
      <c r="R4" s="88"/>
    </row>
    <row r="5" spans="1:18" ht="38.25" x14ac:dyDescent="0.2">
      <c r="A5" s="82" t="s">
        <v>130</v>
      </c>
      <c r="B5" s="91" t="s">
        <v>6</v>
      </c>
      <c r="C5" s="91" t="s">
        <v>159</v>
      </c>
      <c r="D5" s="91" t="s">
        <v>60</v>
      </c>
      <c r="E5" s="91" t="s">
        <v>160</v>
      </c>
      <c r="F5" s="91" t="s">
        <v>177</v>
      </c>
      <c r="G5" s="91" t="s">
        <v>176</v>
      </c>
      <c r="H5" s="91" t="s">
        <v>61</v>
      </c>
      <c r="I5" s="91" t="s">
        <v>62</v>
      </c>
      <c r="J5" s="91" t="s">
        <v>63</v>
      </c>
      <c r="K5" s="91" t="s">
        <v>63</v>
      </c>
      <c r="L5" s="198"/>
      <c r="R5" s="88"/>
    </row>
    <row r="6" spans="1:18" x14ac:dyDescent="0.2">
      <c r="A6" s="89" t="s">
        <v>131</v>
      </c>
      <c r="B6" s="92">
        <f>'Design Tool'!I$10</f>
        <v>3</v>
      </c>
      <c r="C6" s="93">
        <f>'Design Tool'!I15</f>
        <v>12</v>
      </c>
      <c r="D6" s="86">
        <f>'Design Tool'!D22</f>
        <v>500</v>
      </c>
      <c r="E6" s="80">
        <f>D6*((F3+B6+C6)/12)</f>
        <v>1346.6666666666667</v>
      </c>
      <c r="F6" s="92">
        <f>IF('Design Tool'!$I$18="no",0,IF('Design Tool'!$I$19="no",0,Computations!B6))</f>
        <v>3</v>
      </c>
      <c r="G6" s="92">
        <f>IF('Design Tool'!$I$18="no",0,IF('Design Tool'!$I$20="no",0,Computations!C6))</f>
        <v>12</v>
      </c>
      <c r="H6" s="80">
        <f>IF('Design Tool'!I18="no",0,(D6*((F3+F6+G6)/12)-I3)*'Design Tool'!$I$21)</f>
        <v>309.36141333333336</v>
      </c>
      <c r="I6" s="94">
        <f>H6+J3</f>
        <v>853.96138999999994</v>
      </c>
      <c r="J6" s="94">
        <f>E6-I3</f>
        <v>773.40353333333337</v>
      </c>
      <c r="K6" s="95">
        <f>J6/27</f>
        <v>28.644575308641976</v>
      </c>
      <c r="L6" s="199"/>
      <c r="P6" s="258"/>
      <c r="Q6" s="258"/>
      <c r="R6" s="258"/>
    </row>
    <row r="8" spans="1:18" x14ac:dyDescent="0.2">
      <c r="I8" s="259" t="s">
        <v>74</v>
      </c>
      <c r="J8" s="259" t="s">
        <v>75</v>
      </c>
    </row>
    <row r="9" spans="1:18" x14ac:dyDescent="0.2">
      <c r="A9" s="96" t="s">
        <v>143</v>
      </c>
      <c r="B9" s="78" t="s">
        <v>144</v>
      </c>
      <c r="C9" s="78" t="s">
        <v>145</v>
      </c>
      <c r="D9" s="78" t="s">
        <v>138</v>
      </c>
      <c r="E9" s="78" t="s">
        <v>64</v>
      </c>
      <c r="F9" s="78" t="s">
        <v>70</v>
      </c>
      <c r="G9" s="78" t="s">
        <v>69</v>
      </c>
      <c r="H9" s="97" t="s">
        <v>65</v>
      </c>
      <c r="I9" s="260"/>
      <c r="J9" s="260"/>
    </row>
    <row r="10" spans="1:18" x14ac:dyDescent="0.2">
      <c r="B10" s="86">
        <f>'Design Tool'!D17</f>
        <v>397.18</v>
      </c>
      <c r="C10" s="98">
        <f>'Design Tool'!D19</f>
        <v>100</v>
      </c>
      <c r="D10" s="92">
        <f>F3</f>
        <v>17.32</v>
      </c>
      <c r="E10" s="86">
        <f>IF('Design Tool'!D31="Yes",B10,0)</f>
        <v>397.18</v>
      </c>
      <c r="F10" s="86">
        <f>C10*D10/12</f>
        <v>144.33333333333334</v>
      </c>
      <c r="G10" s="86">
        <f>B10</f>
        <v>397.18</v>
      </c>
      <c r="H10" s="99">
        <v>0.15</v>
      </c>
      <c r="I10" s="100">
        <f>IF('Design Tool'!I29="Tank",(E10+F10+G10)*(1+H10)*2,(E10+F10+G10)*(1+H10))</f>
        <v>1079.4973333333332</v>
      </c>
      <c r="J10" s="101">
        <f>I10/9</f>
        <v>119.94414814814814</v>
      </c>
    </row>
    <row r="11" spans="1:18" ht="15" customHeight="1" x14ac:dyDescent="0.2">
      <c r="G11" s="102"/>
      <c r="H11" s="102"/>
      <c r="I11" s="102"/>
      <c r="J11" s="102"/>
    </row>
    <row r="12" spans="1:18" x14ac:dyDescent="0.2">
      <c r="I12" s="259" t="s">
        <v>74</v>
      </c>
      <c r="J12" s="259" t="s">
        <v>75</v>
      </c>
    </row>
    <row r="13" spans="1:18" x14ac:dyDescent="0.2">
      <c r="A13" s="96" t="s">
        <v>66</v>
      </c>
      <c r="B13" s="78" t="s">
        <v>67</v>
      </c>
      <c r="C13" s="78" t="s">
        <v>68</v>
      </c>
      <c r="D13" s="78" t="s">
        <v>76</v>
      </c>
      <c r="E13" s="78" t="s">
        <v>64</v>
      </c>
      <c r="F13" s="78" t="s">
        <v>70</v>
      </c>
      <c r="G13" s="78" t="s">
        <v>69</v>
      </c>
      <c r="H13" s="97" t="s">
        <v>65</v>
      </c>
      <c r="I13" s="260"/>
      <c r="J13" s="260"/>
    </row>
    <row r="14" spans="1:18" x14ac:dyDescent="0.2">
      <c r="B14" s="86">
        <f>'Design Tool'!D22</f>
        <v>500</v>
      </c>
      <c r="C14" s="98">
        <f>'Design Tool'!D23</f>
        <v>150</v>
      </c>
      <c r="D14" s="92">
        <f>MAX(F3:F3)</f>
        <v>17.32</v>
      </c>
      <c r="E14" s="86">
        <f>IF('Design Tool'!D36="Yes",B14,0)</f>
        <v>500</v>
      </c>
      <c r="F14" s="86">
        <f>IF('Design Tool'!D37="Yes",C14*(B6+C6+D14)/12,0)</f>
        <v>404</v>
      </c>
      <c r="G14" s="86">
        <f>IF('Design Tool'!D35="Yes",B14,0)</f>
        <v>500</v>
      </c>
      <c r="H14" s="99">
        <v>0.15</v>
      </c>
      <c r="I14" s="100">
        <f>IF('Design Tool'!I29="Excavation",(E14+F14+G14)*(1+H14)*2,(E14+F14+G14)*(1+H14))</f>
        <v>1614.6</v>
      </c>
      <c r="J14" s="101">
        <f>I14/9</f>
        <v>179.39999999999998</v>
      </c>
    </row>
    <row r="15" spans="1:18" ht="15" customHeight="1" x14ac:dyDescent="0.2"/>
    <row r="16" spans="1:18" x14ac:dyDescent="0.2">
      <c r="G16" s="259" t="s">
        <v>74</v>
      </c>
      <c r="H16" s="259" t="s">
        <v>75</v>
      </c>
    </row>
    <row r="17" spans="1:8" x14ac:dyDescent="0.2">
      <c r="A17" s="96" t="s">
        <v>46</v>
      </c>
      <c r="B17" s="78" t="s">
        <v>73</v>
      </c>
      <c r="C17" s="78" t="s">
        <v>64</v>
      </c>
      <c r="D17" s="78" t="s">
        <v>70</v>
      </c>
      <c r="E17" s="78" t="s">
        <v>69</v>
      </c>
      <c r="F17" s="97" t="s">
        <v>65</v>
      </c>
      <c r="G17" s="261"/>
      <c r="H17" s="261"/>
    </row>
    <row r="18" spans="1:8" x14ac:dyDescent="0.2">
      <c r="B18" s="90">
        <f>'Design Tool'!I29</f>
        <v>0</v>
      </c>
      <c r="C18" s="86">
        <f>IF(AND($B$18="Tank",'Design Tool'!$I31="Yes"),E10,IF(AND($B$18="Tank",'Design Tool'!$I31="No"),0,IF(AND($B$18="Excavation",'Design Tool'!$I31="Yes"),E14,0)))</f>
        <v>0</v>
      </c>
      <c r="D18" s="86">
        <f>IF(AND($B$18="Tank",'Design Tool'!$I32="Yes"),F10,IF(AND($B$18="Tank",'Design Tool'!$I32="No"),0,IF(AND($B$18="Excavation",'Design Tool'!$I32="Yes"),F14,0)))</f>
        <v>0</v>
      </c>
      <c r="E18" s="86">
        <f>IF(AND($B$18="Tank",'Design Tool'!$I30="Yes"),G10,IF(AND($B$18="Tank",'Design Tool'!$I30="No"),0,IF(AND($B$18="Excavation",'Design Tool'!$I30="Yes"),G14,0)))</f>
        <v>0</v>
      </c>
      <c r="F18" s="99">
        <v>0.15</v>
      </c>
      <c r="G18" s="100">
        <f>(C18+D18+E18)*(1+F18)</f>
        <v>0</v>
      </c>
      <c r="H18" s="101">
        <f>G18/9</f>
        <v>0</v>
      </c>
    </row>
    <row r="19" spans="1:8" ht="15" customHeight="1" x14ac:dyDescent="0.2"/>
    <row r="20" spans="1:8" x14ac:dyDescent="0.2">
      <c r="A20" s="82" t="s">
        <v>71</v>
      </c>
      <c r="B20" s="78" t="s">
        <v>72</v>
      </c>
      <c r="C20" s="78" t="s">
        <v>65</v>
      </c>
      <c r="D20" s="78" t="s">
        <v>72</v>
      </c>
      <c r="E20" s="78" t="s">
        <v>72</v>
      </c>
    </row>
    <row r="21" spans="1:8" x14ac:dyDescent="0.2">
      <c r="B21" s="86">
        <f>'Design Tool'!D26</f>
        <v>750</v>
      </c>
      <c r="C21" s="103">
        <v>0.15</v>
      </c>
      <c r="D21" s="104">
        <f>(1+C21)*B21</f>
        <v>862.49999999999989</v>
      </c>
      <c r="E21" s="101">
        <f>D21/9</f>
        <v>95.833333333333314</v>
      </c>
    </row>
    <row r="23" spans="1:8" x14ac:dyDescent="0.2">
      <c r="A23" s="82" t="s">
        <v>146</v>
      </c>
      <c r="B23" s="105" t="s">
        <v>126</v>
      </c>
      <c r="C23" s="106">
        <f>C24-($B$6/12)</f>
        <v>99.75</v>
      </c>
      <c r="E23" s="102"/>
    </row>
    <row r="24" spans="1:8" x14ac:dyDescent="0.2">
      <c r="B24" s="105" t="s">
        <v>147</v>
      </c>
      <c r="C24" s="106">
        <f>'Design Tool'!I14</f>
        <v>100</v>
      </c>
      <c r="E24" s="102"/>
    </row>
    <row r="25" spans="1:8" x14ac:dyDescent="0.2">
      <c r="B25" s="105" t="s">
        <v>148</v>
      </c>
      <c r="C25" s="106">
        <f>C24+(F3/12)</f>
        <v>101.44333333333333</v>
      </c>
      <c r="E25" s="102"/>
    </row>
    <row r="26" spans="1:8" x14ac:dyDescent="0.2">
      <c r="B26" s="105" t="s">
        <v>5</v>
      </c>
      <c r="C26" s="106">
        <f>C25+(C6/12)</f>
        <v>102.44333333333333</v>
      </c>
      <c r="E26" s="102"/>
    </row>
    <row r="27" spans="1:8" x14ac:dyDescent="0.2">
      <c r="B27" s="105" t="s">
        <v>127</v>
      </c>
      <c r="C27" s="106">
        <f>IF($B$3="XD",VLOOKUP($B$3,'Reference Data'!$C$2:$P$41,12,FALSE),IF('Design Tool'!$D$13="Non-Traffic",VLOOKUP($B$3,'Reference Data'!$C$2:$P$41,11,FALSE),IF('Design Tool'!$D$13="HS-20",VLOOKUP($B$3,'Reference Data'!$C$2:$P$41,12,FALSE),IF('Design Tool'!$D$13="HS-25",VLOOKUP('Design Tool'!$D$9,'Reference Data'!$C$2:$P$41,13,FALSE),IF($B$3="XD",VLOOKUP($B$3,'Reference Data'!$C$2:$P$41,13,FALSE),0)))))+C25</f>
        <v>103.11333333333333</v>
      </c>
      <c r="D27" s="102"/>
      <c r="E27" s="102"/>
    </row>
    <row r="28" spans="1:8" x14ac:dyDescent="0.2">
      <c r="B28" s="105" t="s">
        <v>128</v>
      </c>
      <c r="C28" s="106">
        <f>IF($B$3&lt;&gt;"XD",VLOOKUP($B$3,'Reference Data'!$C$2:$P$26,14,FALSE),VLOOKUP($B$3,'Reference Data'!$C$2:$P$26,14,FALSE))+C25</f>
        <v>108.43333333333332</v>
      </c>
      <c r="E28" s="102"/>
    </row>
  </sheetData>
  <mergeCells count="7">
    <mergeCell ref="P6:R6"/>
    <mergeCell ref="J8:J9"/>
    <mergeCell ref="G16:G17"/>
    <mergeCell ref="H16:H17"/>
    <mergeCell ref="I12:I13"/>
    <mergeCell ref="I8:I9"/>
    <mergeCell ref="J12:J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45"/>
  <sheetViews>
    <sheetView topLeftCell="A22" workbookViewId="0">
      <selection activeCell="C44" sqref="C44"/>
    </sheetView>
  </sheetViews>
  <sheetFormatPr defaultColWidth="8.85546875" defaultRowHeight="12" x14ac:dyDescent="0.25"/>
  <cols>
    <col min="1" max="1" width="22.140625" style="28" bestFit="1" customWidth="1"/>
    <col min="2" max="2" width="8.85546875" style="28"/>
    <col min="3" max="3" width="22.140625" style="28" bestFit="1" customWidth="1"/>
    <col min="4" max="4" width="15.5703125" style="28" bestFit="1" customWidth="1"/>
    <col min="5" max="5" width="10.85546875" style="28" bestFit="1" customWidth="1"/>
    <col min="6" max="6" width="14.5703125" style="28" bestFit="1" customWidth="1"/>
    <col min="7" max="7" width="10.42578125" style="28" bestFit="1" customWidth="1"/>
    <col min="8" max="8" width="15.5703125" style="28" bestFit="1" customWidth="1"/>
    <col min="9" max="9" width="9.140625" style="28" bestFit="1" customWidth="1"/>
    <col min="10" max="10" width="14.28515625" style="28" bestFit="1" customWidth="1"/>
    <col min="11" max="11" width="8.7109375" style="28" bestFit="1" customWidth="1"/>
    <col min="12" max="12" width="22.140625" style="28" bestFit="1" customWidth="1"/>
    <col min="13" max="13" width="16.85546875" style="28" bestFit="1" customWidth="1"/>
    <col min="14" max="15" width="9.140625" style="28" bestFit="1" customWidth="1"/>
    <col min="16" max="16" width="10.140625" style="28" bestFit="1" customWidth="1"/>
    <col min="17" max="17" width="8.85546875" style="28"/>
    <col min="18" max="18" width="8.42578125" style="28" bestFit="1" customWidth="1"/>
    <col min="19" max="19" width="8.85546875" style="28"/>
    <col min="20" max="20" width="8.140625" style="28" bestFit="1" customWidth="1"/>
    <col min="21" max="21" width="8.7109375" style="28" bestFit="1" customWidth="1"/>
    <col min="22" max="22" width="8.140625" style="28" bestFit="1" customWidth="1"/>
    <col min="23" max="23" width="8.5703125" style="28" bestFit="1" customWidth="1"/>
    <col min="24" max="24" width="8.140625" style="28" bestFit="1" customWidth="1"/>
    <col min="25" max="25" width="9.42578125" style="28" bestFit="1" customWidth="1"/>
    <col min="26" max="26" width="10.42578125" style="28" bestFit="1" customWidth="1"/>
    <col min="27" max="27" width="9.140625" style="28" bestFit="1" customWidth="1"/>
    <col min="28" max="28" width="8.7109375" style="28" bestFit="1" customWidth="1"/>
    <col min="29" max="29" width="9.140625" style="28" bestFit="1" customWidth="1"/>
    <col min="30" max="30" width="7.42578125" style="28" bestFit="1" customWidth="1"/>
    <col min="31" max="31" width="9" style="28" bestFit="1" customWidth="1"/>
    <col min="32" max="32" width="10.42578125" style="28" bestFit="1" customWidth="1"/>
    <col min="33" max="33" width="14.140625" style="28" bestFit="1" customWidth="1"/>
    <col min="34" max="34" width="10" style="28" bestFit="1" customWidth="1"/>
    <col min="35" max="35" width="15.140625" style="28" bestFit="1" customWidth="1"/>
    <col min="36" max="36" width="8.7109375" style="28" bestFit="1" customWidth="1"/>
    <col min="37" max="37" width="13.85546875" style="28" bestFit="1" customWidth="1"/>
    <col min="38" max="38" width="8.28515625" style="28" bestFit="1" customWidth="1"/>
    <col min="39" max="39" width="13.42578125" style="28" bestFit="1" customWidth="1"/>
    <col min="40" max="40" width="8.7109375" style="28" bestFit="1" customWidth="1"/>
    <col min="41" max="16384" width="8.85546875" style="28"/>
  </cols>
  <sheetData>
    <row r="1" spans="1:16" ht="45" x14ac:dyDescent="0.25">
      <c r="A1" s="2"/>
      <c r="C1" s="6" t="s">
        <v>12</v>
      </c>
      <c r="D1" s="6" t="s">
        <v>13</v>
      </c>
      <c r="E1" s="6" t="s">
        <v>0</v>
      </c>
      <c r="F1" s="11" t="s">
        <v>14</v>
      </c>
      <c r="G1" s="16" t="s">
        <v>15</v>
      </c>
      <c r="H1" s="17" t="s">
        <v>16</v>
      </c>
      <c r="I1" s="16" t="s">
        <v>17</v>
      </c>
      <c r="J1" s="18" t="s">
        <v>129</v>
      </c>
      <c r="K1" s="16" t="s">
        <v>18</v>
      </c>
      <c r="L1" s="16" t="s">
        <v>19</v>
      </c>
      <c r="M1" s="16" t="s">
        <v>88</v>
      </c>
      <c r="N1" s="23" t="s">
        <v>20</v>
      </c>
      <c r="O1" s="23" t="s">
        <v>89</v>
      </c>
      <c r="P1" s="23" t="s">
        <v>21</v>
      </c>
    </row>
    <row r="2" spans="1:16" ht="15" x14ac:dyDescent="0.25">
      <c r="A2" s="2" t="s">
        <v>3</v>
      </c>
      <c r="C2" s="2" t="s">
        <v>3</v>
      </c>
      <c r="D2" s="7">
        <v>440</v>
      </c>
      <c r="E2" s="29">
        <f t="shared" ref="E2:E26" si="0">ROUND(CONVERT(D2,"mm","in"),2)</f>
        <v>17.32</v>
      </c>
      <c r="F2" s="12">
        <v>715</v>
      </c>
      <c r="G2" s="29">
        <f t="shared" ref="G2:G26" si="1">ROUND(CONVERT(F2,"mm","in"),2)</f>
        <v>28.15</v>
      </c>
      <c r="H2" s="12">
        <v>400</v>
      </c>
      <c r="I2" s="29">
        <f t="shared" ref="I2:I25" si="2">ROUND(CONVERT(H2,"mm","in"),2)</f>
        <v>15.75</v>
      </c>
      <c r="J2" s="33">
        <f t="shared" ref="J2:J26" si="3">D2*F2*H2/1000000000</f>
        <v>0.12584000000000001</v>
      </c>
      <c r="K2" s="19">
        <f t="shared" ref="K2:K26" si="4">CONVERT(J2,"m^3","ft^3")</f>
        <v>4.4439976602321245</v>
      </c>
      <c r="L2" s="19">
        <f>K2*0.95</f>
        <v>4.2217977772205177</v>
      </c>
      <c r="M2" s="24">
        <v>1</v>
      </c>
      <c r="N2" s="24">
        <v>1.67</v>
      </c>
      <c r="O2" s="24">
        <v>2</v>
      </c>
      <c r="P2" s="24">
        <v>6.99</v>
      </c>
    </row>
    <row r="3" spans="1:16" ht="15" x14ac:dyDescent="0.25">
      <c r="A3" s="3" t="s">
        <v>22</v>
      </c>
      <c r="C3" s="3" t="s">
        <v>22</v>
      </c>
      <c r="D3" s="7">
        <v>660</v>
      </c>
      <c r="E3" s="29">
        <f t="shared" si="0"/>
        <v>25.98</v>
      </c>
      <c r="F3" s="12">
        <v>715</v>
      </c>
      <c r="G3" s="29">
        <f t="shared" si="1"/>
        <v>28.15</v>
      </c>
      <c r="H3" s="12">
        <v>400</v>
      </c>
      <c r="I3" s="29">
        <f t="shared" si="2"/>
        <v>15.75</v>
      </c>
      <c r="J3" s="33">
        <f t="shared" si="3"/>
        <v>0.18876000000000001</v>
      </c>
      <c r="K3" s="19">
        <f t="shared" si="4"/>
        <v>6.6659964903481868</v>
      </c>
      <c r="L3" s="19">
        <f t="shared" ref="L3:L26" si="5">K3*0.95</f>
        <v>6.3326966658307775</v>
      </c>
      <c r="M3" s="24">
        <v>1</v>
      </c>
      <c r="N3" s="24">
        <v>1.67</v>
      </c>
      <c r="O3" s="24">
        <v>2</v>
      </c>
      <c r="P3" s="24">
        <v>6.99</v>
      </c>
    </row>
    <row r="4" spans="1:16" ht="15" x14ac:dyDescent="0.25">
      <c r="A4" s="3" t="s">
        <v>23</v>
      </c>
      <c r="C4" s="3" t="s">
        <v>23</v>
      </c>
      <c r="D4" s="7">
        <v>860</v>
      </c>
      <c r="E4" s="29">
        <f t="shared" si="0"/>
        <v>33.86</v>
      </c>
      <c r="F4" s="12">
        <v>715</v>
      </c>
      <c r="G4" s="29">
        <f t="shared" si="1"/>
        <v>28.15</v>
      </c>
      <c r="H4" s="12">
        <v>400</v>
      </c>
      <c r="I4" s="29">
        <f t="shared" si="2"/>
        <v>15.75</v>
      </c>
      <c r="J4" s="33">
        <f t="shared" si="3"/>
        <v>0.24596000000000001</v>
      </c>
      <c r="K4" s="19">
        <f t="shared" si="4"/>
        <v>8.6859954268173336</v>
      </c>
      <c r="L4" s="19">
        <f t="shared" si="5"/>
        <v>8.2516956554764658</v>
      </c>
      <c r="M4" s="24">
        <v>1</v>
      </c>
      <c r="N4" s="24">
        <v>1.67</v>
      </c>
      <c r="O4" s="24">
        <v>2</v>
      </c>
      <c r="P4" s="24">
        <v>6.99</v>
      </c>
    </row>
    <row r="5" spans="1:16" ht="15" x14ac:dyDescent="0.25">
      <c r="A5" s="3" t="s">
        <v>24</v>
      </c>
      <c r="C5" s="3" t="s">
        <v>24</v>
      </c>
      <c r="D5" s="7">
        <v>1080</v>
      </c>
      <c r="E5" s="29">
        <f t="shared" si="0"/>
        <v>42.52</v>
      </c>
      <c r="F5" s="12">
        <v>715</v>
      </c>
      <c r="G5" s="29">
        <f t="shared" si="1"/>
        <v>28.15</v>
      </c>
      <c r="H5" s="12">
        <v>400</v>
      </c>
      <c r="I5" s="29">
        <f t="shared" si="2"/>
        <v>15.75</v>
      </c>
      <c r="J5" s="33">
        <f t="shared" si="3"/>
        <v>0.30887999999999999</v>
      </c>
      <c r="K5" s="19">
        <f t="shared" si="4"/>
        <v>10.907994256933396</v>
      </c>
      <c r="L5" s="19">
        <f t="shared" si="5"/>
        <v>10.362594544086726</v>
      </c>
      <c r="M5" s="24">
        <v>1</v>
      </c>
      <c r="N5" s="24">
        <v>1.67</v>
      </c>
      <c r="O5" s="24">
        <v>2</v>
      </c>
      <c r="P5" s="24">
        <v>6.99</v>
      </c>
    </row>
    <row r="6" spans="1:16" ht="15" x14ac:dyDescent="0.25">
      <c r="A6" s="3" t="s">
        <v>25</v>
      </c>
      <c r="C6" s="3" t="s">
        <v>25</v>
      </c>
      <c r="D6" s="7">
        <v>1280</v>
      </c>
      <c r="E6" s="29">
        <f t="shared" si="0"/>
        <v>50.39</v>
      </c>
      <c r="F6" s="12">
        <v>715</v>
      </c>
      <c r="G6" s="29">
        <f t="shared" si="1"/>
        <v>28.15</v>
      </c>
      <c r="H6" s="12">
        <v>400</v>
      </c>
      <c r="I6" s="29">
        <f t="shared" si="2"/>
        <v>15.75</v>
      </c>
      <c r="J6" s="33">
        <f t="shared" si="3"/>
        <v>0.36608000000000002</v>
      </c>
      <c r="K6" s="19">
        <f t="shared" si="4"/>
        <v>12.927993193402544</v>
      </c>
      <c r="L6" s="19">
        <f t="shared" si="5"/>
        <v>12.281593533732417</v>
      </c>
      <c r="M6" s="24">
        <v>1</v>
      </c>
      <c r="N6" s="24">
        <v>1.67</v>
      </c>
      <c r="O6" s="24">
        <v>2</v>
      </c>
      <c r="P6" s="24">
        <v>6.99</v>
      </c>
    </row>
    <row r="7" spans="1:16" ht="15" x14ac:dyDescent="0.25">
      <c r="A7" s="3" t="s">
        <v>26</v>
      </c>
      <c r="C7" s="3" t="s">
        <v>26</v>
      </c>
      <c r="D7" s="7">
        <v>1500</v>
      </c>
      <c r="E7" s="29">
        <f t="shared" si="0"/>
        <v>59.06</v>
      </c>
      <c r="F7" s="12">
        <v>715</v>
      </c>
      <c r="G7" s="29">
        <f t="shared" si="1"/>
        <v>28.15</v>
      </c>
      <c r="H7" s="12">
        <v>400</v>
      </c>
      <c r="I7" s="29">
        <f t="shared" si="2"/>
        <v>15.75</v>
      </c>
      <c r="J7" s="33">
        <f t="shared" si="3"/>
        <v>0.42899999999999999</v>
      </c>
      <c r="K7" s="19">
        <f t="shared" si="4"/>
        <v>15.149992023518605</v>
      </c>
      <c r="L7" s="19">
        <f t="shared" si="5"/>
        <v>14.392492422342674</v>
      </c>
      <c r="M7" s="24">
        <v>1</v>
      </c>
      <c r="N7" s="24">
        <v>1.67</v>
      </c>
      <c r="O7" s="24">
        <v>2</v>
      </c>
      <c r="P7" s="24">
        <v>6.99</v>
      </c>
    </row>
    <row r="8" spans="1:16" ht="15" x14ac:dyDescent="0.25">
      <c r="A8" s="3" t="s">
        <v>27</v>
      </c>
      <c r="C8" s="3" t="s">
        <v>27</v>
      </c>
      <c r="D8" s="7">
        <v>1700</v>
      </c>
      <c r="E8" s="29">
        <f t="shared" si="0"/>
        <v>66.930000000000007</v>
      </c>
      <c r="F8" s="12">
        <v>715</v>
      </c>
      <c r="G8" s="29">
        <f t="shared" si="1"/>
        <v>28.15</v>
      </c>
      <c r="H8" s="12">
        <v>400</v>
      </c>
      <c r="I8" s="29">
        <f t="shared" si="2"/>
        <v>15.75</v>
      </c>
      <c r="J8" s="33">
        <f t="shared" si="3"/>
        <v>0.48620000000000002</v>
      </c>
      <c r="K8" s="19">
        <f t="shared" si="4"/>
        <v>17.169990959987754</v>
      </c>
      <c r="L8" s="19">
        <f t="shared" si="5"/>
        <v>16.311491411988364</v>
      </c>
      <c r="M8" s="24">
        <v>1</v>
      </c>
      <c r="N8" s="24">
        <v>1.67</v>
      </c>
      <c r="O8" s="24">
        <v>2</v>
      </c>
      <c r="P8" s="24">
        <v>6.99</v>
      </c>
    </row>
    <row r="9" spans="1:16" ht="15" x14ac:dyDescent="0.25">
      <c r="A9" s="3" t="s">
        <v>28</v>
      </c>
      <c r="C9" s="3" t="s">
        <v>28</v>
      </c>
      <c r="D9" s="7">
        <v>1920</v>
      </c>
      <c r="E9" s="29">
        <f t="shared" si="0"/>
        <v>75.59</v>
      </c>
      <c r="F9" s="12">
        <v>715</v>
      </c>
      <c r="G9" s="29">
        <f t="shared" si="1"/>
        <v>28.15</v>
      </c>
      <c r="H9" s="12">
        <v>400</v>
      </c>
      <c r="I9" s="29">
        <f t="shared" si="2"/>
        <v>15.75</v>
      </c>
      <c r="J9" s="33">
        <f t="shared" si="3"/>
        <v>0.54912000000000005</v>
      </c>
      <c r="K9" s="19">
        <f t="shared" si="4"/>
        <v>19.391989790103814</v>
      </c>
      <c r="L9" s="19">
        <f t="shared" si="5"/>
        <v>18.422390300598622</v>
      </c>
      <c r="M9" s="24">
        <v>1</v>
      </c>
      <c r="N9" s="24">
        <v>1.67</v>
      </c>
      <c r="O9" s="24">
        <v>2</v>
      </c>
      <c r="P9" s="24">
        <v>6.99</v>
      </c>
    </row>
    <row r="10" spans="1:16" ht="15" x14ac:dyDescent="0.25">
      <c r="A10" s="3" t="s">
        <v>29</v>
      </c>
      <c r="C10" s="3" t="s">
        <v>29</v>
      </c>
      <c r="D10" s="7">
        <v>2120</v>
      </c>
      <c r="E10" s="29">
        <f t="shared" si="0"/>
        <v>83.46</v>
      </c>
      <c r="F10" s="12">
        <v>715</v>
      </c>
      <c r="G10" s="29">
        <f t="shared" si="1"/>
        <v>28.15</v>
      </c>
      <c r="H10" s="12">
        <v>400</v>
      </c>
      <c r="I10" s="29">
        <f t="shared" si="2"/>
        <v>15.75</v>
      </c>
      <c r="J10" s="33">
        <f t="shared" si="3"/>
        <v>0.60631999999999997</v>
      </c>
      <c r="K10" s="19">
        <f t="shared" si="4"/>
        <v>21.411988726572957</v>
      </c>
      <c r="L10" s="19">
        <f t="shared" si="5"/>
        <v>20.341389290244308</v>
      </c>
      <c r="M10" s="24">
        <v>1</v>
      </c>
      <c r="N10" s="24">
        <v>1.67</v>
      </c>
      <c r="O10" s="24">
        <v>2</v>
      </c>
      <c r="P10" s="24">
        <v>6.99</v>
      </c>
    </row>
    <row r="11" spans="1:16" ht="15" x14ac:dyDescent="0.25">
      <c r="A11" s="4"/>
      <c r="C11" s="4" t="s">
        <v>30</v>
      </c>
      <c r="D11" s="8">
        <v>240</v>
      </c>
      <c r="E11" s="30">
        <f t="shared" si="0"/>
        <v>9.4499999999999993</v>
      </c>
      <c r="F11" s="13">
        <v>715</v>
      </c>
      <c r="G11" s="30">
        <f t="shared" si="1"/>
        <v>28.15</v>
      </c>
      <c r="H11" s="13">
        <v>400</v>
      </c>
      <c r="I11" s="30">
        <f t="shared" si="2"/>
        <v>15.75</v>
      </c>
      <c r="J11" s="34">
        <f t="shared" si="3"/>
        <v>6.8640000000000007E-2</v>
      </c>
      <c r="K11" s="20">
        <f t="shared" si="4"/>
        <v>2.4239987237629768</v>
      </c>
      <c r="L11" s="20">
        <f t="shared" si="5"/>
        <v>2.3027987875748277</v>
      </c>
      <c r="M11" s="25">
        <v>1</v>
      </c>
      <c r="N11" s="25">
        <v>1.5</v>
      </c>
      <c r="O11" s="25">
        <f>19/12</f>
        <v>1.5833333333333333</v>
      </c>
      <c r="P11" s="25">
        <v>9.99</v>
      </c>
    </row>
    <row r="12" spans="1:16" ht="15" x14ac:dyDescent="0.25">
      <c r="A12" s="4" t="s">
        <v>30</v>
      </c>
      <c r="C12" s="4" t="s">
        <v>31</v>
      </c>
      <c r="D12" s="8">
        <f t="shared" ref="D12:D20" si="6">D11+220</f>
        <v>460</v>
      </c>
      <c r="E12" s="30">
        <f t="shared" si="0"/>
        <v>18.11</v>
      </c>
      <c r="F12" s="13">
        <v>715</v>
      </c>
      <c r="G12" s="30">
        <f t="shared" si="1"/>
        <v>28.15</v>
      </c>
      <c r="H12" s="13">
        <v>400</v>
      </c>
      <c r="I12" s="30">
        <f t="shared" si="2"/>
        <v>15.75</v>
      </c>
      <c r="J12" s="34">
        <f t="shared" si="3"/>
        <v>0.13156000000000001</v>
      </c>
      <c r="K12" s="20">
        <f t="shared" si="4"/>
        <v>4.645997553879039</v>
      </c>
      <c r="L12" s="20">
        <f t="shared" si="5"/>
        <v>4.4136976761850866</v>
      </c>
      <c r="M12" s="25">
        <v>1</v>
      </c>
      <c r="N12" s="25">
        <v>1.5</v>
      </c>
      <c r="O12" s="25">
        <f t="shared" ref="O12:O20" si="7">19/12</f>
        <v>1.5833333333333333</v>
      </c>
      <c r="P12" s="25">
        <v>9.99</v>
      </c>
    </row>
    <row r="13" spans="1:16" ht="15" x14ac:dyDescent="0.25">
      <c r="A13" s="4" t="s">
        <v>31</v>
      </c>
      <c r="C13" s="4" t="s">
        <v>32</v>
      </c>
      <c r="D13" s="8">
        <f t="shared" si="6"/>
        <v>680</v>
      </c>
      <c r="E13" s="30">
        <f t="shared" si="0"/>
        <v>26.77</v>
      </c>
      <c r="F13" s="13">
        <v>715</v>
      </c>
      <c r="G13" s="30">
        <f t="shared" si="1"/>
        <v>28.15</v>
      </c>
      <c r="H13" s="13">
        <v>400</v>
      </c>
      <c r="I13" s="30">
        <f t="shared" si="2"/>
        <v>15.75</v>
      </c>
      <c r="J13" s="34">
        <f t="shared" si="3"/>
        <v>0.19447999999999999</v>
      </c>
      <c r="K13" s="20">
        <f t="shared" si="4"/>
        <v>6.8679963839951004</v>
      </c>
      <c r="L13" s="20">
        <f t="shared" si="5"/>
        <v>6.5245965647953454</v>
      </c>
      <c r="M13" s="25">
        <v>1</v>
      </c>
      <c r="N13" s="25">
        <v>1.5</v>
      </c>
      <c r="O13" s="25">
        <f t="shared" si="7"/>
        <v>1.5833333333333333</v>
      </c>
      <c r="P13" s="25">
        <v>9.99</v>
      </c>
    </row>
    <row r="14" spans="1:16" ht="15" x14ac:dyDescent="0.25">
      <c r="A14" s="4" t="s">
        <v>32</v>
      </c>
      <c r="C14" s="4" t="s">
        <v>33</v>
      </c>
      <c r="D14" s="8">
        <f t="shared" si="6"/>
        <v>900</v>
      </c>
      <c r="E14" s="30">
        <f t="shared" si="0"/>
        <v>35.43</v>
      </c>
      <c r="F14" s="13">
        <v>715</v>
      </c>
      <c r="G14" s="30">
        <f t="shared" si="1"/>
        <v>28.15</v>
      </c>
      <c r="H14" s="13">
        <v>400</v>
      </c>
      <c r="I14" s="30">
        <f t="shared" si="2"/>
        <v>15.75</v>
      </c>
      <c r="J14" s="34">
        <f t="shared" si="3"/>
        <v>0.25740000000000002</v>
      </c>
      <c r="K14" s="20">
        <f t="shared" si="4"/>
        <v>9.0899952141111644</v>
      </c>
      <c r="L14" s="20">
        <f t="shared" si="5"/>
        <v>8.6354954534056052</v>
      </c>
      <c r="M14" s="25">
        <v>1</v>
      </c>
      <c r="N14" s="25">
        <v>1.5</v>
      </c>
      <c r="O14" s="25">
        <f t="shared" si="7"/>
        <v>1.5833333333333333</v>
      </c>
      <c r="P14" s="25">
        <v>9.99</v>
      </c>
    </row>
    <row r="15" spans="1:16" ht="15" x14ac:dyDescent="0.25">
      <c r="A15" s="4" t="s">
        <v>33</v>
      </c>
      <c r="C15" s="4" t="s">
        <v>34</v>
      </c>
      <c r="D15" s="8">
        <f t="shared" si="6"/>
        <v>1120</v>
      </c>
      <c r="E15" s="30">
        <f t="shared" si="0"/>
        <v>44.09</v>
      </c>
      <c r="F15" s="13">
        <v>715</v>
      </c>
      <c r="G15" s="30">
        <f t="shared" si="1"/>
        <v>28.15</v>
      </c>
      <c r="H15" s="13">
        <v>400</v>
      </c>
      <c r="I15" s="30">
        <f t="shared" si="2"/>
        <v>15.75</v>
      </c>
      <c r="J15" s="34">
        <f t="shared" si="3"/>
        <v>0.32031999999999999</v>
      </c>
      <c r="K15" s="20">
        <f t="shared" si="4"/>
        <v>11.311994044227225</v>
      </c>
      <c r="L15" s="20">
        <f t="shared" si="5"/>
        <v>10.746394342015863</v>
      </c>
      <c r="M15" s="25">
        <v>1</v>
      </c>
      <c r="N15" s="25">
        <v>1.5</v>
      </c>
      <c r="O15" s="25">
        <f t="shared" si="7"/>
        <v>1.5833333333333333</v>
      </c>
      <c r="P15" s="25">
        <v>9.99</v>
      </c>
    </row>
    <row r="16" spans="1:16" ht="15" x14ac:dyDescent="0.25">
      <c r="A16" s="4" t="s">
        <v>34</v>
      </c>
      <c r="C16" s="4" t="s">
        <v>35</v>
      </c>
      <c r="D16" s="8">
        <f t="shared" si="6"/>
        <v>1340</v>
      </c>
      <c r="E16" s="30">
        <f t="shared" si="0"/>
        <v>52.76</v>
      </c>
      <c r="F16" s="13">
        <v>715</v>
      </c>
      <c r="G16" s="30">
        <f t="shared" si="1"/>
        <v>28.15</v>
      </c>
      <c r="H16" s="13">
        <v>400</v>
      </c>
      <c r="I16" s="30">
        <f t="shared" si="2"/>
        <v>15.75</v>
      </c>
      <c r="J16" s="34">
        <f t="shared" si="3"/>
        <v>0.38324000000000003</v>
      </c>
      <c r="K16" s="20">
        <f t="shared" si="4"/>
        <v>13.533992874343287</v>
      </c>
      <c r="L16" s="20">
        <f t="shared" si="5"/>
        <v>12.857293230626123</v>
      </c>
      <c r="M16" s="25">
        <v>1</v>
      </c>
      <c r="N16" s="25">
        <v>1.5</v>
      </c>
      <c r="O16" s="25">
        <f t="shared" si="7"/>
        <v>1.5833333333333333</v>
      </c>
      <c r="P16" s="25">
        <v>9.99</v>
      </c>
    </row>
    <row r="17" spans="1:19" ht="15" x14ac:dyDescent="0.25">
      <c r="A17" s="4" t="s">
        <v>35</v>
      </c>
      <c r="C17" s="4" t="s">
        <v>36</v>
      </c>
      <c r="D17" s="8">
        <f t="shared" si="6"/>
        <v>1560</v>
      </c>
      <c r="E17" s="30">
        <f t="shared" si="0"/>
        <v>61.42</v>
      </c>
      <c r="F17" s="13">
        <v>715</v>
      </c>
      <c r="G17" s="30">
        <f t="shared" si="1"/>
        <v>28.15</v>
      </c>
      <c r="H17" s="13">
        <v>400</v>
      </c>
      <c r="I17" s="30">
        <f t="shared" si="2"/>
        <v>15.75</v>
      </c>
      <c r="J17" s="34">
        <f t="shared" si="3"/>
        <v>0.44616</v>
      </c>
      <c r="K17" s="20">
        <f t="shared" si="4"/>
        <v>15.755991704459349</v>
      </c>
      <c r="L17" s="20">
        <f t="shared" si="5"/>
        <v>14.968192119236381</v>
      </c>
      <c r="M17" s="25">
        <v>1</v>
      </c>
      <c r="N17" s="25">
        <v>1.5</v>
      </c>
      <c r="O17" s="25">
        <f t="shared" si="7"/>
        <v>1.5833333333333333</v>
      </c>
      <c r="P17" s="25">
        <v>9.99</v>
      </c>
      <c r="S17" s="46"/>
    </row>
    <row r="18" spans="1:19" ht="15" x14ac:dyDescent="0.25">
      <c r="A18" s="4" t="s">
        <v>36</v>
      </c>
      <c r="C18" s="4" t="s">
        <v>37</v>
      </c>
      <c r="D18" s="8">
        <f t="shared" si="6"/>
        <v>1780</v>
      </c>
      <c r="E18" s="30">
        <f t="shared" si="0"/>
        <v>70.08</v>
      </c>
      <c r="F18" s="13">
        <v>715</v>
      </c>
      <c r="G18" s="30">
        <f t="shared" si="1"/>
        <v>28.15</v>
      </c>
      <c r="H18" s="13">
        <v>400</v>
      </c>
      <c r="I18" s="30">
        <f t="shared" si="2"/>
        <v>15.75</v>
      </c>
      <c r="J18" s="34">
        <f t="shared" si="3"/>
        <v>0.50907999999999998</v>
      </c>
      <c r="K18" s="20">
        <f t="shared" si="4"/>
        <v>17.977990534575412</v>
      </c>
      <c r="L18" s="20">
        <f t="shared" si="5"/>
        <v>17.079091007846639</v>
      </c>
      <c r="M18" s="25">
        <v>1</v>
      </c>
      <c r="N18" s="25">
        <v>1.5</v>
      </c>
      <c r="O18" s="25">
        <f t="shared" si="7"/>
        <v>1.5833333333333333</v>
      </c>
      <c r="P18" s="25">
        <v>9.99</v>
      </c>
      <c r="S18" s="46"/>
    </row>
    <row r="19" spans="1:19" ht="15" x14ac:dyDescent="0.25">
      <c r="A19" s="4" t="s">
        <v>37</v>
      </c>
      <c r="C19" s="4" t="s">
        <v>38</v>
      </c>
      <c r="D19" s="8">
        <f t="shared" si="6"/>
        <v>2000</v>
      </c>
      <c r="E19" s="30">
        <f t="shared" si="0"/>
        <v>78.739999999999995</v>
      </c>
      <c r="F19" s="13">
        <v>715</v>
      </c>
      <c r="G19" s="30">
        <f t="shared" si="1"/>
        <v>28.15</v>
      </c>
      <c r="H19" s="13">
        <v>400</v>
      </c>
      <c r="I19" s="30">
        <f t="shared" si="2"/>
        <v>15.75</v>
      </c>
      <c r="J19" s="34">
        <f t="shared" si="3"/>
        <v>0.57199999999999995</v>
      </c>
      <c r="K19" s="20">
        <f t="shared" si="4"/>
        <v>20.199989364691472</v>
      </c>
      <c r="L19" s="20">
        <f t="shared" si="5"/>
        <v>19.189989896456897</v>
      </c>
      <c r="M19" s="25">
        <v>1</v>
      </c>
      <c r="N19" s="25">
        <v>1.5</v>
      </c>
      <c r="O19" s="25">
        <f t="shared" si="7"/>
        <v>1.5833333333333333</v>
      </c>
      <c r="P19" s="25">
        <v>9.99</v>
      </c>
    </row>
    <row r="20" spans="1:19" ht="15" x14ac:dyDescent="0.25">
      <c r="A20" s="4" t="s">
        <v>38</v>
      </c>
      <c r="C20" s="4" t="s">
        <v>39</v>
      </c>
      <c r="D20" s="8">
        <f t="shared" si="6"/>
        <v>2220</v>
      </c>
      <c r="E20" s="30">
        <f t="shared" si="0"/>
        <v>87.4</v>
      </c>
      <c r="F20" s="13">
        <v>715</v>
      </c>
      <c r="G20" s="30">
        <f t="shared" si="1"/>
        <v>28.15</v>
      </c>
      <c r="H20" s="13">
        <v>400</v>
      </c>
      <c r="I20" s="30">
        <f t="shared" si="2"/>
        <v>15.75</v>
      </c>
      <c r="J20" s="34">
        <f t="shared" si="3"/>
        <v>0.63492000000000004</v>
      </c>
      <c r="K20" s="20">
        <f t="shared" si="4"/>
        <v>22.421988194807536</v>
      </c>
      <c r="L20" s="20">
        <f t="shared" si="5"/>
        <v>21.300888785067158</v>
      </c>
      <c r="M20" s="25">
        <v>1</v>
      </c>
      <c r="N20" s="25">
        <v>1.5</v>
      </c>
      <c r="O20" s="25">
        <f t="shared" si="7"/>
        <v>1.5833333333333333</v>
      </c>
      <c r="P20" s="25">
        <v>9.99</v>
      </c>
    </row>
    <row r="21" spans="1:19" ht="15" x14ac:dyDescent="0.25">
      <c r="A21" s="4" t="s">
        <v>39</v>
      </c>
      <c r="C21" s="5" t="s">
        <v>40</v>
      </c>
      <c r="D21" s="9">
        <v>360</v>
      </c>
      <c r="E21" s="31">
        <f t="shared" si="0"/>
        <v>14.17</v>
      </c>
      <c r="F21" s="14">
        <v>600</v>
      </c>
      <c r="G21" s="31">
        <f t="shared" si="1"/>
        <v>23.62</v>
      </c>
      <c r="H21" s="14">
        <v>600</v>
      </c>
      <c r="I21" s="31">
        <f t="shared" si="2"/>
        <v>23.62</v>
      </c>
      <c r="J21" s="35">
        <f t="shared" si="3"/>
        <v>0.12959999999999999</v>
      </c>
      <c r="K21" s="21">
        <f t="shared" si="4"/>
        <v>4.576780807104921</v>
      </c>
      <c r="L21" s="21">
        <f t="shared" si="5"/>
        <v>4.3479417667496749</v>
      </c>
      <c r="M21" s="26">
        <v>1</v>
      </c>
      <c r="N21" s="26">
        <f>IF('Design Tool'!$I$11="Stone",1,14/12)</f>
        <v>1</v>
      </c>
      <c r="O21" s="26">
        <f>IF('Design Tool'!$I$11="Stone",15/12,17/12)</f>
        <v>1.25</v>
      </c>
      <c r="P21" s="26">
        <v>5</v>
      </c>
    </row>
    <row r="22" spans="1:19" ht="15" x14ac:dyDescent="0.25">
      <c r="A22" s="5"/>
      <c r="C22" s="5" t="s">
        <v>41</v>
      </c>
      <c r="D22" s="9">
        <v>690</v>
      </c>
      <c r="E22" s="31">
        <f t="shared" si="0"/>
        <v>27.17</v>
      </c>
      <c r="F22" s="14">
        <v>600</v>
      </c>
      <c r="G22" s="31">
        <f t="shared" si="1"/>
        <v>23.62</v>
      </c>
      <c r="H22" s="14">
        <v>600</v>
      </c>
      <c r="I22" s="31">
        <f t="shared" si="2"/>
        <v>23.62</v>
      </c>
      <c r="J22" s="35">
        <f t="shared" si="3"/>
        <v>0.24840000000000001</v>
      </c>
      <c r="K22" s="21">
        <f t="shared" si="4"/>
        <v>8.7721632136177661</v>
      </c>
      <c r="L22" s="21">
        <f t="shared" si="5"/>
        <v>8.3335550529368767</v>
      </c>
      <c r="M22" s="26">
        <v>1</v>
      </c>
      <c r="N22" s="26">
        <f>IF('Design Tool'!$I$11="Stone",1,14/12)</f>
        <v>1</v>
      </c>
      <c r="O22" s="26">
        <f>IF('Design Tool'!$I$11="Stone",15/12,17/12)</f>
        <v>1.25</v>
      </c>
      <c r="P22" s="26">
        <v>5</v>
      </c>
    </row>
    <row r="23" spans="1:19" ht="15" x14ac:dyDescent="0.25">
      <c r="A23" s="5" t="s">
        <v>40</v>
      </c>
      <c r="C23" s="5" t="s">
        <v>42</v>
      </c>
      <c r="D23" s="9">
        <v>1020</v>
      </c>
      <c r="E23" s="31">
        <f t="shared" si="0"/>
        <v>40.159999999999997</v>
      </c>
      <c r="F23" s="14">
        <v>600</v>
      </c>
      <c r="G23" s="31">
        <f t="shared" si="1"/>
        <v>23.62</v>
      </c>
      <c r="H23" s="14">
        <v>600</v>
      </c>
      <c r="I23" s="31">
        <f t="shared" si="2"/>
        <v>23.62</v>
      </c>
      <c r="J23" s="35">
        <f t="shared" si="3"/>
        <v>0.36720000000000003</v>
      </c>
      <c r="K23" s="21">
        <f t="shared" si="4"/>
        <v>12.967545620130611</v>
      </c>
      <c r="L23" s="21">
        <f t="shared" si="5"/>
        <v>12.319168339124079</v>
      </c>
      <c r="M23" s="26">
        <v>1</v>
      </c>
      <c r="N23" s="26">
        <f>IF('Design Tool'!$I$11="Stone",1,14/12)</f>
        <v>1</v>
      </c>
      <c r="O23" s="26">
        <f>IF('Design Tool'!$I$11="Stone",15/12,17/12)</f>
        <v>1.25</v>
      </c>
      <c r="P23" s="26">
        <v>5</v>
      </c>
    </row>
    <row r="24" spans="1:19" ht="15" x14ac:dyDescent="0.25">
      <c r="A24" s="5" t="s">
        <v>41</v>
      </c>
      <c r="C24" s="5" t="s">
        <v>43</v>
      </c>
      <c r="D24" s="9">
        <v>1350</v>
      </c>
      <c r="E24" s="31">
        <f t="shared" si="0"/>
        <v>53.15</v>
      </c>
      <c r="F24" s="14">
        <v>600</v>
      </c>
      <c r="G24" s="31">
        <f t="shared" si="1"/>
        <v>23.62</v>
      </c>
      <c r="H24" s="14">
        <v>600</v>
      </c>
      <c r="I24" s="31">
        <f t="shared" si="2"/>
        <v>23.62</v>
      </c>
      <c r="J24" s="35">
        <f t="shared" si="3"/>
        <v>0.48599999999999999</v>
      </c>
      <c r="K24" s="21">
        <f t="shared" si="4"/>
        <v>17.162928026643453</v>
      </c>
      <c r="L24" s="21">
        <f t="shared" si="5"/>
        <v>16.304781625311279</v>
      </c>
      <c r="M24" s="26">
        <v>1</v>
      </c>
      <c r="N24" s="26">
        <f>IF('Design Tool'!$I$11="Stone",1,14/12)</f>
        <v>1</v>
      </c>
      <c r="O24" s="26">
        <f>IF('Design Tool'!$I$11="Stone",15/12,17/12)</f>
        <v>1.25</v>
      </c>
      <c r="P24" s="26">
        <v>5</v>
      </c>
    </row>
    <row r="25" spans="1:19" ht="15" x14ac:dyDescent="0.25">
      <c r="A25" s="5" t="s">
        <v>42</v>
      </c>
      <c r="C25" s="5" t="s">
        <v>44</v>
      </c>
      <c r="D25" s="9">
        <v>1680</v>
      </c>
      <c r="E25" s="31">
        <f t="shared" si="0"/>
        <v>66.14</v>
      </c>
      <c r="F25" s="14">
        <v>600</v>
      </c>
      <c r="G25" s="31">
        <f t="shared" si="1"/>
        <v>23.62</v>
      </c>
      <c r="H25" s="14">
        <v>600</v>
      </c>
      <c r="I25" s="31">
        <f t="shared" si="2"/>
        <v>23.62</v>
      </c>
      <c r="J25" s="35">
        <f t="shared" si="3"/>
        <v>0.6048</v>
      </c>
      <c r="K25" s="21">
        <f t="shared" si="4"/>
        <v>21.358310433156298</v>
      </c>
      <c r="L25" s="21">
        <f t="shared" si="5"/>
        <v>20.290394911498481</v>
      </c>
      <c r="M25" s="26">
        <v>1</v>
      </c>
      <c r="N25" s="26">
        <f>IF('Design Tool'!$I$11="Stone",1,14/12)</f>
        <v>1</v>
      </c>
      <c r="O25" s="26">
        <f>IF('Design Tool'!$I$11="Stone",15/12,17/12)</f>
        <v>1.25</v>
      </c>
      <c r="P25" s="26">
        <v>5</v>
      </c>
    </row>
    <row r="26" spans="1:19" ht="15" x14ac:dyDescent="0.25">
      <c r="A26" s="5" t="s">
        <v>43</v>
      </c>
      <c r="C26" s="1" t="s">
        <v>45</v>
      </c>
      <c r="D26" s="10">
        <f>50*'Design Tool'!D10</f>
        <v>150</v>
      </c>
      <c r="E26" s="32">
        <f t="shared" si="0"/>
        <v>5.91</v>
      </c>
      <c r="F26" s="15">
        <v>600</v>
      </c>
      <c r="G26" s="32">
        <f t="shared" si="1"/>
        <v>23.62</v>
      </c>
      <c r="H26" s="15">
        <v>500</v>
      </c>
      <c r="I26" s="32">
        <v>19.68</v>
      </c>
      <c r="J26" s="36">
        <f t="shared" si="3"/>
        <v>4.4999999999999998E-2</v>
      </c>
      <c r="K26" s="22">
        <f t="shared" si="4"/>
        <v>1.5891600024669865</v>
      </c>
      <c r="L26" s="22">
        <f t="shared" si="5"/>
        <v>1.5097020023436372</v>
      </c>
      <c r="M26" s="27">
        <v>0.5</v>
      </c>
      <c r="N26" s="27">
        <v>0.5</v>
      </c>
      <c r="O26" s="27">
        <v>0.5</v>
      </c>
      <c r="P26" s="27">
        <v>16.670000000000002</v>
      </c>
    </row>
    <row r="27" spans="1:19" ht="45" x14ac:dyDescent="0.25">
      <c r="A27" s="5" t="s">
        <v>44</v>
      </c>
      <c r="C27" s="6" t="s">
        <v>57</v>
      </c>
      <c r="D27" s="6" t="s">
        <v>13</v>
      </c>
      <c r="E27" s="6" t="s">
        <v>0</v>
      </c>
      <c r="F27" s="11" t="s">
        <v>14</v>
      </c>
      <c r="G27" s="16" t="s">
        <v>15</v>
      </c>
      <c r="H27" s="17" t="s">
        <v>16</v>
      </c>
      <c r="I27" s="16" t="s">
        <v>17</v>
      </c>
      <c r="J27" s="18" t="s">
        <v>129</v>
      </c>
      <c r="K27" s="16" t="s">
        <v>18</v>
      </c>
      <c r="L27" s="16" t="s">
        <v>19</v>
      </c>
      <c r="M27" s="16" t="s">
        <v>88</v>
      </c>
      <c r="N27" s="23" t="s">
        <v>20</v>
      </c>
      <c r="O27" s="23" t="s">
        <v>89</v>
      </c>
      <c r="P27" s="23" t="s">
        <v>21</v>
      </c>
    </row>
    <row r="28" spans="1:19" ht="15" x14ac:dyDescent="0.25">
      <c r="A28" s="1"/>
      <c r="C28" s="2" t="s">
        <v>117</v>
      </c>
      <c r="D28" s="7">
        <v>440</v>
      </c>
      <c r="E28" s="29">
        <f t="shared" ref="E28:E41" si="8">ROUND(CONVERT(D28,"mm","in"),2)</f>
        <v>17.32</v>
      </c>
      <c r="F28" s="12">
        <v>715</v>
      </c>
      <c r="G28" s="29">
        <f t="shared" ref="G28:G41" si="9">ROUND(CONVERT(F28,"mm","in"),2)</f>
        <v>28.15</v>
      </c>
      <c r="H28" s="12">
        <v>400</v>
      </c>
      <c r="I28" s="29">
        <f t="shared" ref="I28:I41" si="10">ROUND(CONVERT(H28,"mm","in"),2)</f>
        <v>15.75</v>
      </c>
      <c r="J28" s="33">
        <f t="shared" ref="J28:J41" si="11">D28*F28*H28/1000000000</f>
        <v>0.12584000000000001</v>
      </c>
      <c r="K28" s="19">
        <f t="shared" ref="K28:K41" si="12">CONVERT(J28,"m^3","ft^3")</f>
        <v>4.4439976602321245</v>
      </c>
      <c r="L28" s="19">
        <f>K28*0.95</f>
        <v>4.2217977772205177</v>
      </c>
      <c r="M28" s="24">
        <v>1</v>
      </c>
      <c r="N28" s="24">
        <v>1.67</v>
      </c>
      <c r="O28" s="24">
        <v>2</v>
      </c>
      <c r="P28" s="24">
        <v>6.99</v>
      </c>
    </row>
    <row r="29" spans="1:19" ht="15" x14ac:dyDescent="0.25">
      <c r="A29" s="1" t="s">
        <v>45</v>
      </c>
      <c r="C29" s="3" t="s">
        <v>118</v>
      </c>
      <c r="D29" s="7">
        <v>660</v>
      </c>
      <c r="E29" s="29">
        <f t="shared" si="8"/>
        <v>25.98</v>
      </c>
      <c r="F29" s="12">
        <v>715</v>
      </c>
      <c r="G29" s="29">
        <f t="shared" si="9"/>
        <v>28.15</v>
      </c>
      <c r="H29" s="12">
        <v>400</v>
      </c>
      <c r="I29" s="29">
        <f t="shared" si="10"/>
        <v>15.75</v>
      </c>
      <c r="J29" s="33">
        <f t="shared" si="11"/>
        <v>0.18876000000000001</v>
      </c>
      <c r="K29" s="19">
        <f t="shared" si="12"/>
        <v>6.6659964903481868</v>
      </c>
      <c r="L29" s="19">
        <f t="shared" ref="L29:L41" si="13">K29*0.95</f>
        <v>6.3326966658307775</v>
      </c>
      <c r="M29" s="24">
        <v>1</v>
      </c>
      <c r="N29" s="24">
        <v>1.67</v>
      </c>
      <c r="O29" s="24">
        <v>2</v>
      </c>
      <c r="P29" s="24">
        <v>6.99</v>
      </c>
    </row>
    <row r="30" spans="1:19" ht="15" x14ac:dyDescent="0.25">
      <c r="A30" s="2"/>
      <c r="C30" s="3" t="s">
        <v>119</v>
      </c>
      <c r="D30" s="7">
        <v>860</v>
      </c>
      <c r="E30" s="29">
        <f t="shared" si="8"/>
        <v>33.86</v>
      </c>
      <c r="F30" s="12">
        <v>715</v>
      </c>
      <c r="G30" s="29">
        <f t="shared" si="9"/>
        <v>28.15</v>
      </c>
      <c r="H30" s="12">
        <v>400</v>
      </c>
      <c r="I30" s="29">
        <f t="shared" si="10"/>
        <v>15.75</v>
      </c>
      <c r="J30" s="33">
        <f t="shared" si="11"/>
        <v>0.24596000000000001</v>
      </c>
      <c r="K30" s="19">
        <f t="shared" si="12"/>
        <v>8.6859954268173336</v>
      </c>
      <c r="L30" s="19">
        <f t="shared" si="13"/>
        <v>8.2516956554764658</v>
      </c>
      <c r="M30" s="24">
        <v>1</v>
      </c>
      <c r="N30" s="24">
        <v>1.67</v>
      </c>
      <c r="O30" s="24">
        <v>2</v>
      </c>
      <c r="P30" s="24">
        <v>6.99</v>
      </c>
    </row>
    <row r="31" spans="1:19" ht="15" x14ac:dyDescent="0.25">
      <c r="A31" s="2" t="s">
        <v>117</v>
      </c>
      <c r="C31" s="3" t="s">
        <v>120</v>
      </c>
      <c r="D31" s="7">
        <v>1080</v>
      </c>
      <c r="E31" s="29">
        <f t="shared" si="8"/>
        <v>42.52</v>
      </c>
      <c r="F31" s="12">
        <v>715</v>
      </c>
      <c r="G31" s="29">
        <f t="shared" si="9"/>
        <v>28.15</v>
      </c>
      <c r="H31" s="12">
        <v>400</v>
      </c>
      <c r="I31" s="29">
        <f t="shared" si="10"/>
        <v>15.75</v>
      </c>
      <c r="J31" s="33">
        <f t="shared" si="11"/>
        <v>0.30887999999999999</v>
      </c>
      <c r="K31" s="19">
        <f t="shared" si="12"/>
        <v>10.907994256933396</v>
      </c>
      <c r="L31" s="19">
        <f t="shared" si="13"/>
        <v>10.362594544086726</v>
      </c>
      <c r="M31" s="24">
        <v>1</v>
      </c>
      <c r="N31" s="24">
        <v>1.67</v>
      </c>
      <c r="O31" s="24">
        <v>2</v>
      </c>
      <c r="P31" s="24">
        <v>6.99</v>
      </c>
    </row>
    <row r="32" spans="1:19" ht="15" x14ac:dyDescent="0.25">
      <c r="A32" s="3" t="s">
        <v>118</v>
      </c>
      <c r="C32" s="3" t="s">
        <v>121</v>
      </c>
      <c r="D32" s="7">
        <v>1280</v>
      </c>
      <c r="E32" s="29">
        <f t="shared" si="8"/>
        <v>50.39</v>
      </c>
      <c r="F32" s="12">
        <v>715</v>
      </c>
      <c r="G32" s="29">
        <f t="shared" si="9"/>
        <v>28.15</v>
      </c>
      <c r="H32" s="12">
        <v>400</v>
      </c>
      <c r="I32" s="29">
        <f t="shared" si="10"/>
        <v>15.75</v>
      </c>
      <c r="J32" s="33">
        <f t="shared" si="11"/>
        <v>0.36608000000000002</v>
      </c>
      <c r="K32" s="19">
        <f t="shared" si="12"/>
        <v>12.927993193402544</v>
      </c>
      <c r="L32" s="19">
        <f t="shared" si="13"/>
        <v>12.281593533732417</v>
      </c>
      <c r="M32" s="24">
        <v>1</v>
      </c>
      <c r="N32" s="24">
        <v>1.67</v>
      </c>
      <c r="O32" s="24">
        <v>2</v>
      </c>
      <c r="P32" s="24">
        <v>6.99</v>
      </c>
    </row>
    <row r="33" spans="1:16" ht="15" x14ac:dyDescent="0.25">
      <c r="A33" s="3" t="s">
        <v>119</v>
      </c>
      <c r="C33" s="3" t="s">
        <v>122</v>
      </c>
      <c r="D33" s="7">
        <v>1500</v>
      </c>
      <c r="E33" s="29">
        <f t="shared" si="8"/>
        <v>59.06</v>
      </c>
      <c r="F33" s="12">
        <v>715</v>
      </c>
      <c r="G33" s="29">
        <f t="shared" si="9"/>
        <v>28.15</v>
      </c>
      <c r="H33" s="12">
        <v>400</v>
      </c>
      <c r="I33" s="29">
        <f t="shared" si="10"/>
        <v>15.75</v>
      </c>
      <c r="J33" s="33">
        <f t="shared" si="11"/>
        <v>0.42899999999999999</v>
      </c>
      <c r="K33" s="19">
        <f t="shared" si="12"/>
        <v>15.149992023518605</v>
      </c>
      <c r="L33" s="19">
        <f t="shared" si="13"/>
        <v>14.392492422342674</v>
      </c>
      <c r="M33" s="24">
        <v>1</v>
      </c>
      <c r="N33" s="24">
        <v>1.67</v>
      </c>
      <c r="O33" s="24">
        <v>2</v>
      </c>
      <c r="P33" s="24">
        <v>6.99</v>
      </c>
    </row>
    <row r="34" spans="1:16" ht="15" x14ac:dyDescent="0.25">
      <c r="A34" s="3" t="s">
        <v>120</v>
      </c>
      <c r="C34" s="3" t="s">
        <v>123</v>
      </c>
      <c r="D34" s="7">
        <v>1700</v>
      </c>
      <c r="E34" s="29">
        <f t="shared" si="8"/>
        <v>66.930000000000007</v>
      </c>
      <c r="F34" s="12">
        <v>715</v>
      </c>
      <c r="G34" s="29">
        <f t="shared" si="9"/>
        <v>28.15</v>
      </c>
      <c r="H34" s="12">
        <v>400</v>
      </c>
      <c r="I34" s="29">
        <f t="shared" si="10"/>
        <v>15.75</v>
      </c>
      <c r="J34" s="33">
        <f t="shared" si="11"/>
        <v>0.48620000000000002</v>
      </c>
      <c r="K34" s="19">
        <f t="shared" si="12"/>
        <v>17.169990959987754</v>
      </c>
      <c r="L34" s="19">
        <f t="shared" si="13"/>
        <v>16.311491411988364</v>
      </c>
      <c r="M34" s="24">
        <v>1</v>
      </c>
      <c r="N34" s="24">
        <v>1.67</v>
      </c>
      <c r="O34" s="24">
        <v>2</v>
      </c>
      <c r="P34" s="24">
        <v>6.99</v>
      </c>
    </row>
    <row r="35" spans="1:16" ht="15" x14ac:dyDescent="0.25">
      <c r="A35" s="3" t="s">
        <v>121</v>
      </c>
      <c r="C35" s="3" t="s">
        <v>124</v>
      </c>
      <c r="D35" s="7">
        <v>1920</v>
      </c>
      <c r="E35" s="29">
        <f t="shared" si="8"/>
        <v>75.59</v>
      </c>
      <c r="F35" s="12">
        <v>715</v>
      </c>
      <c r="G35" s="29">
        <f t="shared" si="9"/>
        <v>28.15</v>
      </c>
      <c r="H35" s="12">
        <v>400</v>
      </c>
      <c r="I35" s="29">
        <f t="shared" si="10"/>
        <v>15.75</v>
      </c>
      <c r="J35" s="33">
        <f t="shared" si="11"/>
        <v>0.54912000000000005</v>
      </c>
      <c r="K35" s="19">
        <f t="shared" si="12"/>
        <v>19.391989790103814</v>
      </c>
      <c r="L35" s="19">
        <f t="shared" si="13"/>
        <v>18.422390300598622</v>
      </c>
      <c r="M35" s="24">
        <v>1</v>
      </c>
      <c r="N35" s="24">
        <v>1.67</v>
      </c>
      <c r="O35" s="24">
        <v>2</v>
      </c>
      <c r="P35" s="24">
        <v>6.99</v>
      </c>
    </row>
    <row r="36" spans="1:16" ht="15" x14ac:dyDescent="0.25">
      <c r="A36" s="3" t="s">
        <v>122</v>
      </c>
      <c r="C36" s="3" t="s">
        <v>125</v>
      </c>
      <c r="D36" s="7">
        <v>2120</v>
      </c>
      <c r="E36" s="29">
        <f t="shared" si="8"/>
        <v>83.46</v>
      </c>
      <c r="F36" s="12">
        <v>715</v>
      </c>
      <c r="G36" s="29">
        <f t="shared" si="9"/>
        <v>28.15</v>
      </c>
      <c r="H36" s="12">
        <v>400</v>
      </c>
      <c r="I36" s="29">
        <f t="shared" si="10"/>
        <v>15.75</v>
      </c>
      <c r="J36" s="33">
        <f t="shared" si="11"/>
        <v>0.60631999999999997</v>
      </c>
      <c r="K36" s="19">
        <f t="shared" si="12"/>
        <v>21.411988726572957</v>
      </c>
      <c r="L36" s="19">
        <f t="shared" si="13"/>
        <v>20.341389290244308</v>
      </c>
      <c r="M36" s="24">
        <v>1</v>
      </c>
      <c r="N36" s="24">
        <v>1.67</v>
      </c>
      <c r="O36" s="24">
        <v>2</v>
      </c>
      <c r="P36" s="24">
        <v>6.99</v>
      </c>
    </row>
    <row r="37" spans="1:16" ht="15" x14ac:dyDescent="0.25">
      <c r="A37" s="3" t="s">
        <v>123</v>
      </c>
      <c r="C37" s="5" t="s">
        <v>112</v>
      </c>
      <c r="D37" s="9">
        <v>360</v>
      </c>
      <c r="E37" s="31">
        <f t="shared" si="8"/>
        <v>14.17</v>
      </c>
      <c r="F37" s="14">
        <v>600</v>
      </c>
      <c r="G37" s="31">
        <f t="shared" si="9"/>
        <v>23.62</v>
      </c>
      <c r="H37" s="14">
        <v>600</v>
      </c>
      <c r="I37" s="31">
        <f t="shared" si="10"/>
        <v>23.62</v>
      </c>
      <c r="J37" s="35">
        <f t="shared" si="11"/>
        <v>0.12959999999999999</v>
      </c>
      <c r="K37" s="21">
        <f t="shared" si="12"/>
        <v>4.576780807104921</v>
      </c>
      <c r="L37" s="21">
        <f t="shared" si="13"/>
        <v>4.3479417667496749</v>
      </c>
      <c r="M37" s="26">
        <v>1</v>
      </c>
      <c r="N37" s="26">
        <f>IF('Design Tool'!$I$11="Stone",1,14/12)</f>
        <v>1</v>
      </c>
      <c r="O37" s="26">
        <f>IF('Design Tool'!$I$11="Stone",15/12,17/12)</f>
        <v>1.25</v>
      </c>
      <c r="P37" s="26">
        <v>5</v>
      </c>
    </row>
    <row r="38" spans="1:16" ht="15" x14ac:dyDescent="0.25">
      <c r="A38" s="3" t="s">
        <v>124</v>
      </c>
      <c r="C38" s="5" t="s">
        <v>113</v>
      </c>
      <c r="D38" s="9">
        <v>690</v>
      </c>
      <c r="E38" s="31">
        <f t="shared" si="8"/>
        <v>27.17</v>
      </c>
      <c r="F38" s="14">
        <v>600</v>
      </c>
      <c r="G38" s="31">
        <f t="shared" si="9"/>
        <v>23.62</v>
      </c>
      <c r="H38" s="14">
        <v>600</v>
      </c>
      <c r="I38" s="31">
        <f t="shared" si="10"/>
        <v>23.62</v>
      </c>
      <c r="J38" s="35">
        <f t="shared" si="11"/>
        <v>0.24840000000000001</v>
      </c>
      <c r="K38" s="21">
        <f t="shared" si="12"/>
        <v>8.7721632136177661</v>
      </c>
      <c r="L38" s="21">
        <f t="shared" si="13"/>
        <v>8.3335550529368767</v>
      </c>
      <c r="M38" s="26">
        <v>1</v>
      </c>
      <c r="N38" s="26">
        <f>IF('Design Tool'!$I$11="Stone",1,14/12)</f>
        <v>1</v>
      </c>
      <c r="O38" s="26">
        <f>IF('Design Tool'!$I$11="Stone",15/12,17/12)</f>
        <v>1.25</v>
      </c>
      <c r="P38" s="26">
        <v>5</v>
      </c>
    </row>
    <row r="39" spans="1:16" ht="15" x14ac:dyDescent="0.25">
      <c r="A39" s="3" t="s">
        <v>125</v>
      </c>
      <c r="C39" s="5" t="s">
        <v>114</v>
      </c>
      <c r="D39" s="9">
        <v>1020</v>
      </c>
      <c r="E39" s="31">
        <f t="shared" si="8"/>
        <v>40.159999999999997</v>
      </c>
      <c r="F39" s="14">
        <v>600</v>
      </c>
      <c r="G39" s="31">
        <f t="shared" si="9"/>
        <v>23.62</v>
      </c>
      <c r="H39" s="14">
        <v>600</v>
      </c>
      <c r="I39" s="31">
        <f t="shared" si="10"/>
        <v>23.62</v>
      </c>
      <c r="J39" s="35">
        <f t="shared" si="11"/>
        <v>0.36720000000000003</v>
      </c>
      <c r="K39" s="21">
        <f t="shared" si="12"/>
        <v>12.967545620130611</v>
      </c>
      <c r="L39" s="21">
        <f t="shared" si="13"/>
        <v>12.319168339124079</v>
      </c>
      <c r="M39" s="26">
        <v>1</v>
      </c>
      <c r="N39" s="26">
        <f>IF('Design Tool'!$I$11="Stone",1,14/12)</f>
        <v>1</v>
      </c>
      <c r="O39" s="26">
        <f>IF('Design Tool'!$I$11="Stone",15/12,17/12)</f>
        <v>1.25</v>
      </c>
      <c r="P39" s="26">
        <v>5</v>
      </c>
    </row>
    <row r="40" spans="1:16" ht="15" x14ac:dyDescent="0.25">
      <c r="A40" s="5"/>
      <c r="C40" s="5" t="s">
        <v>115</v>
      </c>
      <c r="D40" s="9">
        <v>1350</v>
      </c>
      <c r="E40" s="31">
        <f t="shared" si="8"/>
        <v>53.15</v>
      </c>
      <c r="F40" s="14">
        <v>600</v>
      </c>
      <c r="G40" s="31">
        <f t="shared" si="9"/>
        <v>23.62</v>
      </c>
      <c r="H40" s="14">
        <v>600</v>
      </c>
      <c r="I40" s="31">
        <f t="shared" si="10"/>
        <v>23.62</v>
      </c>
      <c r="J40" s="35">
        <f t="shared" si="11"/>
        <v>0.48599999999999999</v>
      </c>
      <c r="K40" s="21">
        <f t="shared" si="12"/>
        <v>17.162928026643453</v>
      </c>
      <c r="L40" s="21">
        <f t="shared" si="13"/>
        <v>16.304781625311279</v>
      </c>
      <c r="M40" s="26">
        <v>1</v>
      </c>
      <c r="N40" s="26">
        <f>IF('Design Tool'!$I$11="Stone",1,14/12)</f>
        <v>1</v>
      </c>
      <c r="O40" s="26">
        <f>IF('Design Tool'!$I$11="Stone",15/12,17/12)</f>
        <v>1.25</v>
      </c>
      <c r="P40" s="26">
        <v>5</v>
      </c>
    </row>
    <row r="41" spans="1:16" ht="15" x14ac:dyDescent="0.25">
      <c r="A41" s="5" t="s">
        <v>112</v>
      </c>
      <c r="C41" s="5" t="s">
        <v>116</v>
      </c>
      <c r="D41" s="9">
        <v>1680</v>
      </c>
      <c r="E41" s="31">
        <f t="shared" si="8"/>
        <v>66.14</v>
      </c>
      <c r="F41" s="14">
        <v>600</v>
      </c>
      <c r="G41" s="31">
        <f t="shared" si="9"/>
        <v>23.62</v>
      </c>
      <c r="H41" s="14">
        <v>600</v>
      </c>
      <c r="I41" s="31">
        <f t="shared" si="10"/>
        <v>23.62</v>
      </c>
      <c r="J41" s="35">
        <f t="shared" si="11"/>
        <v>0.6048</v>
      </c>
      <c r="K41" s="21">
        <f t="shared" si="12"/>
        <v>21.358310433156298</v>
      </c>
      <c r="L41" s="21">
        <f t="shared" si="13"/>
        <v>20.290394911498481</v>
      </c>
      <c r="M41" s="26">
        <v>1</v>
      </c>
      <c r="N41" s="26">
        <f>IF('Design Tool'!$I$11="Stone",1,14/12)</f>
        <v>1</v>
      </c>
      <c r="O41" s="26">
        <f>IF('Design Tool'!$I$11="Stone",15/12,17/12)</f>
        <v>1.25</v>
      </c>
      <c r="P41" s="26">
        <v>5</v>
      </c>
    </row>
    <row r="42" spans="1:16" ht="15" x14ac:dyDescent="0.25">
      <c r="A42" s="5" t="s">
        <v>113</v>
      </c>
    </row>
    <row r="43" spans="1:16" ht="15" x14ac:dyDescent="0.25">
      <c r="A43" s="5" t="s">
        <v>114</v>
      </c>
    </row>
    <row r="44" spans="1:16" ht="15" x14ac:dyDescent="0.25">
      <c r="A44" s="5" t="s">
        <v>115</v>
      </c>
    </row>
    <row r="45" spans="1:16" ht="15" x14ac:dyDescent="0.25">
      <c r="A45" s="5" t="s">
        <v>116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97BD40CE088429892DB0B5E4E5F63" ma:contentTypeVersion="18" ma:contentTypeDescription="Create a new document." ma:contentTypeScope="" ma:versionID="7a144c3692d4f58f4c3b0623d9256116">
  <xsd:schema xmlns:xsd="http://www.w3.org/2001/XMLSchema" xmlns:xs="http://www.w3.org/2001/XMLSchema" xmlns:p="http://schemas.microsoft.com/office/2006/metadata/properties" xmlns:ns1="http://schemas.microsoft.com/sharepoint/v3" xmlns:ns2="91840c22-13da-49d5-b8ed-7bfe2c9313a9" xmlns:ns3="76ee9be6-8053-4562-a6a8-1a3b4f983453" targetNamespace="http://schemas.microsoft.com/office/2006/metadata/properties" ma:root="true" ma:fieldsID="fa50ec3717e8649d15729515d3140847" ns1:_="" ns2:_="" ns3:_="">
    <xsd:import namespace="http://schemas.microsoft.com/sharepoint/v3"/>
    <xsd:import namespace="91840c22-13da-49d5-b8ed-7bfe2c9313a9"/>
    <xsd:import namespace="76ee9be6-8053-4562-a6a8-1a3b4f983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40c22-13da-49d5-b8ed-7bfe2c931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b9c5f40-f9d3-4160-ab04-6fd564e93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e9be6-8053-4562-a6a8-1a3b4f9834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1535e87-38da-4e9c-b9f9-ef35e8c3ae28}" ma:internalName="TaxCatchAll" ma:showField="CatchAllData" ma:web="76ee9be6-8053-4562-a6a8-1a3b4f9834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ee9be6-8053-4562-a6a8-1a3b4f983453" xsi:nil="true"/>
    <_ip_UnifiedCompliancePolicyUIAction xmlns="http://schemas.microsoft.com/sharepoint/v3" xsi:nil="true"/>
    <lcf76f155ced4ddcb4097134ff3c332f xmlns="91840c22-13da-49d5-b8ed-7bfe2c9313a9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91D35B-DE36-4B81-9519-B8FFE21B2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840c22-13da-49d5-b8ed-7bfe2c9313a9"/>
    <ds:schemaRef ds:uri="76ee9be6-8053-4562-a6a8-1a3b4f983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90DDF1-1DA9-4709-A805-61FE61076D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A76029-00D2-4C3F-AACB-66AEDE3CE259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bcabeffa-7c42-4e0b-9378-633811e41a80"/>
    <ds:schemaRef ds:uri="4a1028c7-5db2-4321-894f-2c6c70ffe042"/>
    <ds:schemaRef ds:uri="76ee9be6-8053-4562-a6a8-1a3b4f983453"/>
    <ds:schemaRef ds:uri="http://schemas.microsoft.com/sharepoint/v3"/>
    <ds:schemaRef ds:uri="91840c22-13da-49d5-b8ed-7bfe2c931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Design Tool</vt:lpstr>
      <vt:lpstr>Stage Storage Computations</vt:lpstr>
      <vt:lpstr>Computations</vt:lpstr>
      <vt:lpstr>Reference Data</vt:lpstr>
      <vt:lpstr>'Design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Bailey</dc:creator>
  <cp:lastModifiedBy>Jason Bailey</cp:lastModifiedBy>
  <cp:lastPrinted>2023-05-18T15:31:46Z</cp:lastPrinted>
  <dcterms:created xsi:type="dcterms:W3CDTF">2016-07-23T22:28:17Z</dcterms:created>
  <dcterms:modified xsi:type="dcterms:W3CDTF">2023-05-18T15:31:49Z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0x01010085C009964B62ED4188925DD347A53BEC</vt:lpwstr>
  </property>
  <property fmtid="{D5CDD505-2E9C-101B-9397-08002B2CF9AE}" pid="3" name="AuthorIds_UIVersion_2560">
    <vt:lpwstr>81</vt:lpwstr>
  </property>
  <property fmtid="{D5CDD505-2E9C-101B-9397-08002B2CF9AE}" pid="4" name="MediaServiceImageTags">
    <vt:lpwstr/>
  </property>
</Properties>
</file>